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9.xml" ContentType="application/vnd.openxmlformats-officedocument.spreadsheetml.comments+xml"/>
  <Override PartName="/xl/drawings/drawing17.xml" ContentType="application/vnd.openxmlformats-officedocument.drawing+xml"/>
  <Override PartName="/xl/comments10.xml" ContentType="application/vnd.openxmlformats-officedocument.spreadsheetml.comments+xml"/>
  <Override PartName="/xl/drawings/drawing18.xml" ContentType="application/vnd.openxmlformats-officedocument.drawing+xml"/>
  <Override PartName="/xl/comments11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5.xml" ContentType="application/vnd.openxmlformats-officedocument.spreadsheetml.comments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7496" windowHeight="9636" tabRatio="586"/>
  </bookViews>
  <sheets>
    <sheet name="תקציב 2017" sheetId="25" r:id="rId1"/>
    <sheet name="תוכן ענינים" sheetId="26" r:id="rId2"/>
    <sheet name="מבוא" sheetId="27" r:id="rId3"/>
    <sheet name="תקציב 2016" sheetId="28" r:id="rId4"/>
    <sheet name="תקציב 2017 " sheetId="62" r:id="rId5"/>
    <sheet name="תקציב 2017 פרקים" sheetId="29" r:id="rId6"/>
    <sheet name="תקציב 2017  אגפים מקורות" sheetId="30" r:id="rId7"/>
    <sheet name="תקציב 2017 קרנות הרשות" sheetId="31" r:id="rId8"/>
    <sheet name="תקציב 2017 מקורות אחרים" sheetId="32" r:id="rId9"/>
    <sheet name="תרשים אגפים" sheetId="69" r:id="rId10"/>
    <sheet name="ריכוז אגפים" sheetId="12" r:id="rId11"/>
    <sheet name="תרשים פרקים" sheetId="71" r:id="rId12"/>
    <sheet name="ריכוז פרקים" sheetId="57" r:id="rId13"/>
    <sheet name="תרשים מקורות מימון" sheetId="70" r:id="rId14"/>
    <sheet name="פרוט מקורות אחרים" sheetId="34" r:id="rId15"/>
    <sheet name="תקציב 2017  הנדסה " sheetId="40" r:id="rId16"/>
    <sheet name="פרוט הנדסה " sheetId="14" r:id="rId17"/>
    <sheet name="תקציב 2017 הח.לפיתוח  " sheetId="63" r:id="rId18"/>
    <sheet name="תקציב 2017 החב.לפיתוח" sheetId="41" r:id="rId19"/>
    <sheet name="פרוט החב. לפיתוח" sheetId="3" r:id="rId20"/>
    <sheet name="תקציב 2017 תבל" sheetId="43" r:id="rId21"/>
    <sheet name="פרוט תבל" sheetId="15" r:id="rId22"/>
    <sheet name="תקציב 2017 בטחון פיקוח " sheetId="42" r:id="rId23"/>
    <sheet name="פרוט בטחון פיקוח " sheetId="16" r:id="rId24"/>
    <sheet name="תקציב 2017 חינוך תנוס" sheetId="64" r:id="rId25"/>
    <sheet name="פרוט חינוך תנוס " sheetId="17" r:id="rId26"/>
    <sheet name="תקציב  שאיפה " sheetId="44" r:id="rId27"/>
    <sheet name="פרוט שאיפה " sheetId="18" r:id="rId28"/>
    <sheet name="תקציב 2017 הח. לתיירות  " sheetId="45" r:id="rId29"/>
    <sheet name="פרוט הח. לתיירות" sheetId="7" r:id="rId30"/>
    <sheet name="תקציב 2017 מיחשוב" sheetId="66" r:id="rId31"/>
    <sheet name="פרוט מחשוב " sheetId="20" r:id="rId32"/>
    <sheet name="תקציב 2017 נכסים  " sheetId="46" r:id="rId33"/>
    <sheet name="פרוט נכסים" sheetId="22" r:id="rId34"/>
    <sheet name="תקציב 2017 שיפוץ חזיתות" sheetId="67" r:id="rId35"/>
    <sheet name="פרוט שיפוצי בתים עמידר " sheetId="19" r:id="rId36"/>
    <sheet name="פרוט כללי " sheetId="23" r:id="rId37"/>
    <sheet name="תקציב 2017 כללי" sheetId="68" r:id="rId38"/>
    <sheet name="הנדסה פרקים" sheetId="47" state="hidden" r:id="rId39"/>
    <sheet name="החברה לפיתוח פרקים" sheetId="48" state="hidden" r:id="rId40"/>
    <sheet name="תבל  פרקים" sheetId="49" state="hidden" r:id="rId41"/>
    <sheet name="ביטחון ופיקוח פרקים" sheetId="50" state="hidden" r:id="rId42"/>
    <sheet name="חינוך תנוס פרקים" sheetId="58" state="hidden" r:id="rId43"/>
    <sheet name="שאיפה  פרקים" sheetId="51" state="hidden" r:id="rId44"/>
    <sheet name="החברה לתיירות פרקים" sheetId="52" state="hidden" r:id="rId45"/>
    <sheet name=" מחשוב  פרקים" sheetId="53" state="hidden" r:id="rId46"/>
    <sheet name="נכסים פרקים" sheetId="54" state="hidden" r:id="rId47"/>
    <sheet name="שיפוצי בתים עמידר  פרקים" sheetId="55" state="hidden" r:id="rId48"/>
    <sheet name="כללי  פרקים" sheetId="56" state="hidden" r:id="rId49"/>
  </sheets>
  <externalReferences>
    <externalReference r:id="rId50"/>
    <externalReference r:id="rId51"/>
    <externalReference r:id="rId52"/>
    <externalReference r:id="rId53"/>
    <externalReference r:id="rId54"/>
  </externalReferences>
  <definedNames>
    <definedName name="_xlnm.Print_Area" localSheetId="45">' מחשוב  פרקים'!$A$1:$W$25</definedName>
    <definedName name="_xlnm.Print_Area" localSheetId="41">'ביטחון ופיקוח פרקים'!$A$1:$Y$18</definedName>
    <definedName name="_xlnm.Print_Area" localSheetId="39">'החברה לפיתוח פרקים'!$A$1:$Y$123</definedName>
    <definedName name="_xlnm.Print_Area" localSheetId="44">'החברה לתיירות פרקים'!$A$1:$Z$30</definedName>
    <definedName name="_xlnm.Print_Area" localSheetId="38">'הנדסה פרקים'!$A$1:$Z$130</definedName>
    <definedName name="_xlnm.Print_Area" localSheetId="42">'חינוך תנוס פרקים'!$A$1:$Y$51</definedName>
    <definedName name="_xlnm.Print_Area" localSheetId="48">'כללי  פרקים'!$A$1:$W$31</definedName>
    <definedName name="_xlnm.Print_Area" localSheetId="46">'נכסים פרקים'!$A$1:$X$25</definedName>
    <definedName name="_xlnm.Print_Area" localSheetId="23">'פרוט בטחון פיקוח '!$A$1:$Y$13</definedName>
    <definedName name="_xlnm.Print_Area" localSheetId="29">'פרוט הח. לתיירות'!$A$1:$Z$20</definedName>
    <definedName name="_xlnm.Print_Area" localSheetId="19">'פרוט החב. לפיתוח'!$A$1:$Y$110</definedName>
    <definedName name="_xlnm.Print_Area" localSheetId="16">'פרוט הנדסה '!$A$1:$Z$124</definedName>
    <definedName name="_xlnm.Print_Area" localSheetId="25">'פרוט חינוך תנוס '!$A$1:$Y$46</definedName>
    <definedName name="_xlnm.Print_Area" localSheetId="36">'פרוט כללי '!$A$1:$W$21</definedName>
    <definedName name="_xlnm.Print_Area" localSheetId="31">'פרוט מחשוב '!$A$1:$W$18</definedName>
    <definedName name="_xlnm.Print_Area" localSheetId="14">'פרוט מקורות אחרים'!$A$1:$Q$16</definedName>
    <definedName name="_xlnm.Print_Area" localSheetId="33">'פרוט נכסים'!$A$1:$X$24</definedName>
    <definedName name="_xlnm.Print_Area" localSheetId="27">'פרוט שאיפה '!$A$1:$Z$70</definedName>
    <definedName name="_xlnm.Print_Area" localSheetId="35">'פרוט שיפוצי בתים עמידר '!$A$1:$Y$10</definedName>
    <definedName name="_xlnm.Print_Area" localSheetId="21">'פרוט תבל'!$A$1:$Z$82</definedName>
    <definedName name="_xlnm.Print_Area" localSheetId="10">'ריכוז אגפים'!$A$1:$W$18</definedName>
    <definedName name="_xlnm.Print_Area" localSheetId="12">'ריכוז פרקים'!$A$1:$W$18</definedName>
    <definedName name="_xlnm.Print_Area" localSheetId="43">'שאיפה  פרקים'!$A$1:$Z$89</definedName>
    <definedName name="_xlnm.Print_Area" localSheetId="47">'שיפוצי בתים עמידר  פרקים'!$A$1:$Y$15</definedName>
    <definedName name="_xlnm.Print_Area" localSheetId="40">'תבל  פרקים'!$A$1:$Z$103</definedName>
    <definedName name="_xlnm.Print_Area" localSheetId="7">'תקציב 2017 קרנות הרשות'!$A$1:$H$20</definedName>
    <definedName name="_xlnm.Print_Titles" localSheetId="41">'ביטחון ופיקוח פרקים'!$2:$5</definedName>
    <definedName name="_xlnm.Print_Titles" localSheetId="39">'החברה לפיתוח פרקים'!$2:$5</definedName>
    <definedName name="_xlnm.Print_Titles" localSheetId="44">'החברה לתיירות פרקים'!$2:$5</definedName>
    <definedName name="_xlnm.Print_Titles" localSheetId="38">'הנדסה פרקים'!$2:$5</definedName>
    <definedName name="_xlnm.Print_Titles" localSheetId="42">'חינוך תנוס פרקים'!$2:$5</definedName>
    <definedName name="_xlnm.Print_Titles" localSheetId="48">'כללי  פרקים'!$2:$5</definedName>
    <definedName name="_xlnm.Print_Titles" localSheetId="46">'נכסים פרקים'!$2:$5</definedName>
    <definedName name="_xlnm.Print_Titles" localSheetId="23">'פרוט בטחון פיקוח '!$2:$5</definedName>
    <definedName name="_xlnm.Print_Titles" localSheetId="29">'פרוט הח. לתיירות'!$2:$4</definedName>
    <definedName name="_xlnm.Print_Titles" localSheetId="19">'פרוט החב. לפיתוח'!$2:$4</definedName>
    <definedName name="_xlnm.Print_Titles" localSheetId="16">'פרוט הנדסה '!$2:$4</definedName>
    <definedName name="_xlnm.Print_Titles" localSheetId="25">'פרוט חינוך תנוס '!$2:$4</definedName>
    <definedName name="_xlnm.Print_Titles" localSheetId="36">'פרוט כללי '!$2:$5</definedName>
    <definedName name="_xlnm.Print_Titles" localSheetId="33">'פרוט נכסים'!$2:$4</definedName>
    <definedName name="_xlnm.Print_Titles" localSheetId="27">'פרוט שאיפה '!$2:$4</definedName>
    <definedName name="_xlnm.Print_Titles" localSheetId="35">'פרוט שיפוצי בתים עמידר '!$2:$4</definedName>
    <definedName name="_xlnm.Print_Titles" localSheetId="21">'פרוט תבל'!$2:$4</definedName>
    <definedName name="_xlnm.Print_Titles" localSheetId="10">'ריכוז אגפים'!$1:$4</definedName>
    <definedName name="_xlnm.Print_Titles" localSheetId="12">'ריכוז פרקים'!$1:$4</definedName>
    <definedName name="_xlnm.Print_Titles" localSheetId="43">'שאיפה  פרקים'!$2:$5</definedName>
    <definedName name="_xlnm.Print_Titles" localSheetId="47">'שיפוצי בתים עמידר  פרקים'!$2:$5</definedName>
    <definedName name="_xlnm.Print_Titles" localSheetId="40">'תבל  פרקים'!$2:$5</definedName>
  </definedNames>
  <calcPr calcId="162913"/>
</workbook>
</file>

<file path=xl/calcChain.xml><?xml version="1.0" encoding="utf-8"?>
<calcChain xmlns="http://schemas.openxmlformats.org/spreadsheetml/2006/main">
  <c r="R44" i="56" l="1"/>
  <c r="R41" i="56"/>
  <c r="R39" i="56"/>
  <c r="Q37" i="56"/>
  <c r="Q35" i="56"/>
  <c r="P33" i="56"/>
  <c r="M33" i="56"/>
  <c r="L33" i="56"/>
  <c r="U31" i="56"/>
  <c r="T31" i="56"/>
  <c r="O31" i="56"/>
  <c r="Y30" i="56"/>
  <c r="X30" i="56"/>
  <c r="W30" i="56"/>
  <c r="V30" i="56"/>
  <c r="U30" i="56"/>
  <c r="T30" i="56"/>
  <c r="S30" i="56"/>
  <c r="R30" i="56"/>
  <c r="Q30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A30" i="56"/>
  <c r="Y28" i="56"/>
  <c r="X28" i="56"/>
  <c r="W28" i="56"/>
  <c r="V28" i="56"/>
  <c r="U28" i="56"/>
  <c r="T28" i="56"/>
  <c r="S28" i="56"/>
  <c r="R28" i="56"/>
  <c r="Q28" i="56"/>
  <c r="P28" i="56"/>
  <c r="O28" i="56"/>
  <c r="N28" i="56"/>
  <c r="M28" i="56"/>
  <c r="L28" i="56"/>
  <c r="K28" i="56"/>
  <c r="J28" i="56"/>
  <c r="I28" i="56"/>
  <c r="H28" i="56"/>
  <c r="G28" i="56"/>
  <c r="F28" i="56"/>
  <c r="E28" i="56"/>
  <c r="D28" i="56"/>
  <c r="V27" i="56"/>
  <c r="U27" i="56"/>
  <c r="T27" i="56"/>
  <c r="S27" i="56"/>
  <c r="P27" i="56"/>
  <c r="O27" i="56"/>
  <c r="M27" i="56"/>
  <c r="L27" i="56"/>
  <c r="K27" i="56"/>
  <c r="F27" i="56"/>
  <c r="A27" i="56"/>
  <c r="Y25" i="56"/>
  <c r="X25" i="56"/>
  <c r="W25" i="56"/>
  <c r="V25" i="56"/>
  <c r="U25" i="56"/>
  <c r="T25" i="56"/>
  <c r="S25" i="56"/>
  <c r="R25" i="56"/>
  <c r="Q25" i="56"/>
  <c r="P25" i="56"/>
  <c r="O25" i="56"/>
  <c r="N25" i="56"/>
  <c r="M25" i="56"/>
  <c r="L25" i="56"/>
  <c r="K25" i="56"/>
  <c r="J25" i="56"/>
  <c r="I25" i="56"/>
  <c r="H25" i="56"/>
  <c r="G25" i="56"/>
  <c r="F25" i="56"/>
  <c r="E25" i="56"/>
  <c r="D25" i="56"/>
  <c r="V24" i="56"/>
  <c r="U24" i="56"/>
  <c r="T24" i="56"/>
  <c r="S24" i="56"/>
  <c r="P24" i="56"/>
  <c r="O24" i="56"/>
  <c r="M24" i="56"/>
  <c r="L24" i="56"/>
  <c r="K24" i="56"/>
  <c r="F24" i="56"/>
  <c r="A24" i="56"/>
  <c r="V23" i="56"/>
  <c r="U23" i="56"/>
  <c r="T23" i="56"/>
  <c r="S23" i="56"/>
  <c r="P23" i="56"/>
  <c r="O23" i="56"/>
  <c r="M23" i="56"/>
  <c r="L23" i="56"/>
  <c r="K23" i="56"/>
  <c r="F23" i="56"/>
  <c r="D23" i="56"/>
  <c r="A23" i="56"/>
  <c r="V22" i="56"/>
  <c r="U22" i="56"/>
  <c r="T22" i="56"/>
  <c r="S22" i="56"/>
  <c r="P22" i="56"/>
  <c r="O22" i="56"/>
  <c r="M22" i="56"/>
  <c r="L22" i="56"/>
  <c r="K22" i="56"/>
  <c r="F22" i="56"/>
  <c r="D22" i="56"/>
  <c r="A22" i="56"/>
  <c r="V21" i="56"/>
  <c r="U21" i="56"/>
  <c r="T21" i="56"/>
  <c r="S21" i="56"/>
  <c r="P21" i="56"/>
  <c r="O21" i="56"/>
  <c r="M21" i="56"/>
  <c r="L21" i="56"/>
  <c r="K21" i="56"/>
  <c r="F21" i="56"/>
  <c r="A21" i="56"/>
  <c r="Y19" i="56"/>
  <c r="X19" i="56"/>
  <c r="W19" i="56"/>
  <c r="V19" i="56"/>
  <c r="U19" i="56"/>
  <c r="T19" i="56"/>
  <c r="S19" i="56"/>
  <c r="R19" i="56"/>
  <c r="Q19" i="56"/>
  <c r="P19" i="56"/>
  <c r="O19" i="56"/>
  <c r="N19" i="56"/>
  <c r="M19" i="56"/>
  <c r="L19" i="56"/>
  <c r="K19" i="56"/>
  <c r="J19" i="56"/>
  <c r="I19" i="56"/>
  <c r="H19" i="56"/>
  <c r="G19" i="56"/>
  <c r="F19" i="56"/>
  <c r="E19" i="56"/>
  <c r="D19" i="56"/>
  <c r="W18" i="56"/>
  <c r="U18" i="56"/>
  <c r="T18" i="56"/>
  <c r="S18" i="56"/>
  <c r="P18" i="56"/>
  <c r="O18" i="56"/>
  <c r="M18" i="56"/>
  <c r="L18" i="56"/>
  <c r="K18" i="56"/>
  <c r="F18" i="56"/>
  <c r="A18" i="56"/>
  <c r="W17" i="56"/>
  <c r="V17" i="56"/>
  <c r="U17" i="56"/>
  <c r="T17" i="56"/>
  <c r="S17" i="56"/>
  <c r="P17" i="56"/>
  <c r="O17" i="56"/>
  <c r="N17" i="56"/>
  <c r="M17" i="56"/>
  <c r="L17" i="56"/>
  <c r="K17" i="56"/>
  <c r="F17" i="56"/>
  <c r="A17" i="56"/>
  <c r="V16" i="56"/>
  <c r="U16" i="56"/>
  <c r="T16" i="56"/>
  <c r="S16" i="56"/>
  <c r="P16" i="56"/>
  <c r="O16" i="56"/>
  <c r="M16" i="56"/>
  <c r="L16" i="56"/>
  <c r="K16" i="56"/>
  <c r="F16" i="56"/>
  <c r="D16" i="56"/>
  <c r="A16" i="56"/>
  <c r="W15" i="56"/>
  <c r="U15" i="56"/>
  <c r="T15" i="56"/>
  <c r="S15" i="56"/>
  <c r="P15" i="56"/>
  <c r="O15" i="56"/>
  <c r="M15" i="56"/>
  <c r="L15" i="56"/>
  <c r="K15" i="56"/>
  <c r="F15" i="56"/>
  <c r="A15" i="56"/>
  <c r="V14" i="56"/>
  <c r="U14" i="56"/>
  <c r="T14" i="56"/>
  <c r="S14" i="56"/>
  <c r="P14" i="56"/>
  <c r="O14" i="56"/>
  <c r="N14" i="56"/>
  <c r="M14" i="56"/>
  <c r="L14" i="56"/>
  <c r="K14" i="56"/>
  <c r="F14" i="56"/>
  <c r="A14" i="56"/>
  <c r="Y12" i="56"/>
  <c r="X12" i="56"/>
  <c r="W12" i="56"/>
  <c r="V12" i="56"/>
  <c r="U12" i="56"/>
  <c r="T12" i="56"/>
  <c r="S12" i="56"/>
  <c r="R12" i="56"/>
  <c r="Q12" i="56"/>
  <c r="P12" i="56"/>
  <c r="O12" i="56"/>
  <c r="N12" i="56"/>
  <c r="M12" i="56"/>
  <c r="L12" i="56"/>
  <c r="K12" i="56"/>
  <c r="J12" i="56"/>
  <c r="I12" i="56"/>
  <c r="H12" i="56"/>
  <c r="G12" i="56"/>
  <c r="F12" i="56"/>
  <c r="E12" i="56"/>
  <c r="D12" i="56"/>
  <c r="V11" i="56"/>
  <c r="U11" i="56"/>
  <c r="T11" i="56"/>
  <c r="S11" i="56"/>
  <c r="P11" i="56"/>
  <c r="O11" i="56"/>
  <c r="M11" i="56"/>
  <c r="L11" i="56"/>
  <c r="K11" i="56"/>
  <c r="F11" i="56"/>
  <c r="A11" i="56"/>
  <c r="Y9" i="56"/>
  <c r="X9" i="56"/>
  <c r="W9" i="56"/>
  <c r="V9" i="56"/>
  <c r="U9" i="56"/>
  <c r="T9" i="56"/>
  <c r="S9" i="56"/>
  <c r="R9" i="56"/>
  <c r="Q9" i="56"/>
  <c r="P9" i="56"/>
  <c r="O9" i="56"/>
  <c r="N9" i="56"/>
  <c r="M9" i="56"/>
  <c r="L9" i="56"/>
  <c r="K9" i="56"/>
  <c r="J9" i="56"/>
  <c r="I9" i="56"/>
  <c r="H9" i="56"/>
  <c r="G9" i="56"/>
  <c r="F9" i="56"/>
  <c r="E9" i="56"/>
  <c r="D9" i="56"/>
  <c r="V8" i="56"/>
  <c r="U8" i="56"/>
  <c r="T8" i="56"/>
  <c r="S8" i="56"/>
  <c r="P8" i="56"/>
  <c r="O8" i="56"/>
  <c r="M8" i="56"/>
  <c r="L8" i="56"/>
  <c r="K8" i="56"/>
  <c r="F8" i="56"/>
  <c r="A8" i="56"/>
  <c r="U7" i="56"/>
  <c r="O7" i="56"/>
  <c r="Q22" i="55"/>
  <c r="Q21" i="55"/>
  <c r="Q23" i="55" s="1"/>
  <c r="Q19" i="55"/>
  <c r="P17" i="55"/>
  <c r="M17" i="55"/>
  <c r="L17" i="55"/>
  <c r="U15" i="55"/>
  <c r="T15" i="55"/>
  <c r="O15" i="55"/>
  <c r="Y14" i="55"/>
  <c r="X14" i="55"/>
  <c r="W14" i="55"/>
  <c r="V14" i="55"/>
  <c r="U14" i="55"/>
  <c r="T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A14" i="55"/>
  <c r="Y12" i="55"/>
  <c r="X12" i="55"/>
  <c r="W12" i="55"/>
  <c r="V12" i="55"/>
  <c r="U12" i="55"/>
  <c r="T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V11" i="55"/>
  <c r="U11" i="55"/>
  <c r="T11" i="55"/>
  <c r="S11" i="55"/>
  <c r="P11" i="55"/>
  <c r="O11" i="55"/>
  <c r="M11" i="55"/>
  <c r="L11" i="55"/>
  <c r="K11" i="55"/>
  <c r="F11" i="55"/>
  <c r="D11" i="55"/>
  <c r="V10" i="55"/>
  <c r="U10" i="55"/>
  <c r="T10" i="55"/>
  <c r="S10" i="55"/>
  <c r="P10" i="55"/>
  <c r="O10" i="55"/>
  <c r="M10" i="55"/>
  <c r="L10" i="55"/>
  <c r="K10" i="55"/>
  <c r="F10" i="55"/>
  <c r="D10" i="55"/>
  <c r="A10" i="55"/>
  <c r="Y8" i="55"/>
  <c r="X8" i="55"/>
  <c r="W8" i="55"/>
  <c r="V8" i="55"/>
  <c r="U8" i="55"/>
  <c r="T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V7" i="55"/>
  <c r="U7" i="55"/>
  <c r="T7" i="55"/>
  <c r="S7" i="55"/>
  <c r="P7" i="55"/>
  <c r="O7" i="55"/>
  <c r="M7" i="55"/>
  <c r="L7" i="55"/>
  <c r="K7" i="55"/>
  <c r="F7" i="55"/>
  <c r="D7" i="55"/>
  <c r="P28" i="54"/>
  <c r="M28" i="54"/>
  <c r="L28" i="54"/>
  <c r="U25" i="54"/>
  <c r="T25" i="54"/>
  <c r="O25" i="54"/>
  <c r="Y24" i="54"/>
  <c r="X24" i="54"/>
  <c r="W24" i="54"/>
  <c r="V24" i="54"/>
  <c r="U24" i="54"/>
  <c r="T24" i="54"/>
  <c r="S24" i="54"/>
  <c r="R24" i="54"/>
  <c r="Q24" i="54"/>
  <c r="P24" i="54"/>
  <c r="O24" i="54"/>
  <c r="N24" i="54"/>
  <c r="M24" i="54"/>
  <c r="L24" i="54"/>
  <c r="K24" i="54"/>
  <c r="J24" i="54"/>
  <c r="I24" i="54"/>
  <c r="H24" i="54"/>
  <c r="G24" i="54"/>
  <c r="F24" i="54"/>
  <c r="E24" i="54"/>
  <c r="D24" i="54"/>
  <c r="A24" i="54"/>
  <c r="V23" i="54"/>
  <c r="U23" i="54"/>
  <c r="T23" i="54"/>
  <c r="S23" i="54"/>
  <c r="P23" i="54"/>
  <c r="O23" i="54"/>
  <c r="M23" i="54"/>
  <c r="L23" i="54"/>
  <c r="K23" i="54"/>
  <c r="F23" i="54"/>
  <c r="A23" i="54"/>
  <c r="V22" i="54"/>
  <c r="U22" i="54"/>
  <c r="T22" i="54"/>
  <c r="S22" i="54"/>
  <c r="P22" i="54"/>
  <c r="O22" i="54"/>
  <c r="M22" i="54"/>
  <c r="L22" i="54"/>
  <c r="K22" i="54"/>
  <c r="F22" i="54"/>
  <c r="A22" i="54"/>
  <c r="V21" i="54"/>
  <c r="U21" i="54"/>
  <c r="T21" i="54"/>
  <c r="S21" i="54"/>
  <c r="P21" i="54"/>
  <c r="O21" i="54"/>
  <c r="M21" i="54"/>
  <c r="L21" i="54"/>
  <c r="K21" i="54"/>
  <c r="F21" i="54"/>
  <c r="A21" i="54"/>
  <c r="V20" i="54"/>
  <c r="U20" i="54"/>
  <c r="T20" i="54"/>
  <c r="S20" i="54"/>
  <c r="P20" i="54"/>
  <c r="O20" i="54"/>
  <c r="M20" i="54"/>
  <c r="L20" i="54"/>
  <c r="K20" i="54"/>
  <c r="F20" i="54"/>
  <c r="A20" i="54"/>
  <c r="V19" i="54"/>
  <c r="U19" i="54"/>
  <c r="T19" i="54"/>
  <c r="S19" i="54"/>
  <c r="P19" i="54"/>
  <c r="O19" i="54"/>
  <c r="M19" i="54"/>
  <c r="L19" i="54"/>
  <c r="K19" i="54"/>
  <c r="F19" i="54"/>
  <c r="A19" i="54"/>
  <c r="V18" i="54"/>
  <c r="U18" i="54"/>
  <c r="T18" i="54"/>
  <c r="S18" i="54"/>
  <c r="P18" i="54"/>
  <c r="O18" i="54"/>
  <c r="M18" i="54"/>
  <c r="L18" i="54"/>
  <c r="K18" i="54"/>
  <c r="F18" i="54"/>
  <c r="A18" i="54"/>
  <c r="V17" i="54"/>
  <c r="U17" i="54"/>
  <c r="T17" i="54"/>
  <c r="S17" i="54"/>
  <c r="P17" i="54"/>
  <c r="O17" i="54"/>
  <c r="M17" i="54"/>
  <c r="L17" i="54"/>
  <c r="K17" i="54"/>
  <c r="F17" i="54"/>
  <c r="A17" i="54"/>
  <c r="V16" i="54"/>
  <c r="U16" i="54"/>
  <c r="T16" i="54"/>
  <c r="S16" i="54"/>
  <c r="P16" i="54"/>
  <c r="O16" i="54"/>
  <c r="M16" i="54"/>
  <c r="L16" i="54"/>
  <c r="K16" i="54"/>
  <c r="F16" i="54"/>
  <c r="A16" i="54"/>
  <c r="V15" i="54"/>
  <c r="U15" i="54"/>
  <c r="T15" i="54"/>
  <c r="S15" i="54"/>
  <c r="P15" i="54"/>
  <c r="O15" i="54"/>
  <c r="M15" i="54"/>
  <c r="L15" i="54"/>
  <c r="K15" i="54"/>
  <c r="F15" i="54"/>
  <c r="A15" i="54"/>
  <c r="V14" i="54"/>
  <c r="U14" i="54"/>
  <c r="T14" i="54"/>
  <c r="S14" i="54"/>
  <c r="P14" i="54"/>
  <c r="O14" i="54"/>
  <c r="M14" i="54"/>
  <c r="L14" i="54"/>
  <c r="K14" i="54"/>
  <c r="F14" i="54"/>
  <c r="A14" i="54"/>
  <c r="V13" i="54"/>
  <c r="U13" i="54"/>
  <c r="T13" i="54"/>
  <c r="S13" i="54"/>
  <c r="P13" i="54"/>
  <c r="O13" i="54"/>
  <c r="M13" i="54"/>
  <c r="L13" i="54"/>
  <c r="K13" i="54"/>
  <c r="F13" i="54"/>
  <c r="A13" i="54"/>
  <c r="V12" i="54"/>
  <c r="U12" i="54"/>
  <c r="T12" i="54"/>
  <c r="S12" i="54"/>
  <c r="P12" i="54"/>
  <c r="O12" i="54"/>
  <c r="M12" i="54"/>
  <c r="L12" i="54"/>
  <c r="K12" i="54"/>
  <c r="F12" i="54"/>
  <c r="A12" i="54"/>
  <c r="V11" i="54"/>
  <c r="U11" i="54"/>
  <c r="T11" i="54"/>
  <c r="S11" i="54"/>
  <c r="P11" i="54"/>
  <c r="O11" i="54"/>
  <c r="M11" i="54"/>
  <c r="L11" i="54"/>
  <c r="K11" i="54"/>
  <c r="F11" i="54"/>
  <c r="A11" i="54"/>
  <c r="V10" i="54"/>
  <c r="U10" i="54"/>
  <c r="T10" i="54"/>
  <c r="S10" i="54"/>
  <c r="P10" i="54"/>
  <c r="O10" i="54"/>
  <c r="M10" i="54"/>
  <c r="L10" i="54"/>
  <c r="K10" i="54"/>
  <c r="F10" i="54"/>
  <c r="A10" i="54"/>
  <c r="V9" i="54"/>
  <c r="U9" i="54"/>
  <c r="T9" i="54"/>
  <c r="S9" i="54"/>
  <c r="P9" i="54"/>
  <c r="O9" i="54"/>
  <c r="M9" i="54"/>
  <c r="L9" i="54"/>
  <c r="K9" i="54"/>
  <c r="F9" i="54"/>
  <c r="A9" i="54"/>
  <c r="V8" i="54"/>
  <c r="U8" i="54"/>
  <c r="T8" i="54"/>
  <c r="S8" i="54"/>
  <c r="P8" i="54"/>
  <c r="O8" i="54"/>
  <c r="M8" i="54"/>
  <c r="L8" i="54"/>
  <c r="K8" i="54"/>
  <c r="F8" i="54"/>
  <c r="A8" i="54"/>
  <c r="U7" i="54"/>
  <c r="T7" i="54"/>
  <c r="O7" i="54"/>
  <c r="Q35" i="53"/>
  <c r="Q33" i="53"/>
  <c r="Q36" i="53" s="1"/>
  <c r="R32" i="53"/>
  <c r="R30" i="53"/>
  <c r="O25" i="53"/>
  <c r="Y24" i="53"/>
  <c r="X24" i="53"/>
  <c r="W24" i="53"/>
  <c r="V24" i="53"/>
  <c r="U24" i="53"/>
  <c r="T24" i="53"/>
  <c r="S24" i="53"/>
  <c r="R24" i="53"/>
  <c r="Q24" i="53"/>
  <c r="P24" i="53"/>
  <c r="O24" i="53"/>
  <c r="N24" i="53"/>
  <c r="M24" i="53"/>
  <c r="L24" i="53"/>
  <c r="K24" i="53"/>
  <c r="J24" i="53"/>
  <c r="I24" i="53"/>
  <c r="H24" i="53"/>
  <c r="G24" i="53"/>
  <c r="F24" i="53"/>
  <c r="E24" i="53"/>
  <c r="D24" i="53"/>
  <c r="A24" i="53"/>
  <c r="Y22" i="53"/>
  <c r="X22" i="53"/>
  <c r="W22" i="53"/>
  <c r="V22" i="53"/>
  <c r="U22" i="53"/>
  <c r="T22" i="53"/>
  <c r="S22" i="53"/>
  <c r="R22" i="53"/>
  <c r="Q22" i="53"/>
  <c r="P22" i="53"/>
  <c r="O22" i="53"/>
  <c r="N22" i="53"/>
  <c r="M22" i="53"/>
  <c r="L22" i="53"/>
  <c r="K22" i="53"/>
  <c r="J22" i="53"/>
  <c r="I22" i="53"/>
  <c r="H22" i="53"/>
  <c r="G22" i="53"/>
  <c r="F22" i="53"/>
  <c r="E22" i="53"/>
  <c r="D22" i="53"/>
  <c r="W21" i="53"/>
  <c r="U21" i="53"/>
  <c r="T21" i="53"/>
  <c r="S21" i="53"/>
  <c r="P21" i="53"/>
  <c r="O21" i="53"/>
  <c r="M21" i="53"/>
  <c r="L21" i="53"/>
  <c r="K21" i="53"/>
  <c r="F21" i="53"/>
  <c r="A21" i="53"/>
  <c r="W20" i="53"/>
  <c r="U20" i="53"/>
  <c r="T20" i="53"/>
  <c r="S20" i="53"/>
  <c r="P20" i="53"/>
  <c r="O20" i="53"/>
  <c r="M20" i="53"/>
  <c r="L20" i="53"/>
  <c r="K20" i="53"/>
  <c r="I20" i="53"/>
  <c r="F20" i="53"/>
  <c r="A20" i="53"/>
  <c r="W19" i="53"/>
  <c r="U19" i="53"/>
  <c r="T19" i="53"/>
  <c r="S19" i="53"/>
  <c r="R19" i="53"/>
  <c r="P19" i="53"/>
  <c r="O19" i="53"/>
  <c r="M19" i="53"/>
  <c r="L19" i="53"/>
  <c r="K19" i="53"/>
  <c r="H19" i="53"/>
  <c r="F19" i="53"/>
  <c r="A19" i="53"/>
  <c r="X17" i="53"/>
  <c r="W17" i="53"/>
  <c r="V17" i="53"/>
  <c r="U17" i="53"/>
  <c r="T17" i="53"/>
  <c r="S17" i="53"/>
  <c r="R17" i="53"/>
  <c r="Q17" i="53"/>
  <c r="P17" i="53"/>
  <c r="O17" i="53"/>
  <c r="N17" i="53"/>
  <c r="M17" i="53"/>
  <c r="L17" i="53"/>
  <c r="K17" i="53"/>
  <c r="J17" i="53"/>
  <c r="I17" i="53"/>
  <c r="H17" i="53"/>
  <c r="G17" i="53"/>
  <c r="F17" i="53"/>
  <c r="E17" i="53"/>
  <c r="D17" i="53"/>
  <c r="W16" i="53"/>
  <c r="U16" i="53"/>
  <c r="T16" i="53"/>
  <c r="S16" i="53"/>
  <c r="P16" i="53"/>
  <c r="O16" i="53"/>
  <c r="M16" i="53"/>
  <c r="L16" i="53"/>
  <c r="K16" i="53"/>
  <c r="F16" i="53"/>
  <c r="A16" i="53"/>
  <c r="W15" i="53"/>
  <c r="U15" i="53"/>
  <c r="T15" i="53"/>
  <c r="S15" i="53"/>
  <c r="P15" i="53"/>
  <c r="O15" i="53"/>
  <c r="M15" i="53"/>
  <c r="L15" i="53"/>
  <c r="K15" i="53"/>
  <c r="F15" i="53"/>
  <c r="A15" i="53"/>
  <c r="W14" i="53"/>
  <c r="U14" i="53"/>
  <c r="T14" i="53"/>
  <c r="S14" i="53"/>
  <c r="P14" i="53"/>
  <c r="O14" i="53"/>
  <c r="M14" i="53"/>
  <c r="L14" i="53"/>
  <c r="K14" i="53"/>
  <c r="F14" i="53"/>
  <c r="A14" i="53"/>
  <c r="W13" i="53"/>
  <c r="U13" i="53"/>
  <c r="T13" i="53"/>
  <c r="S13" i="53"/>
  <c r="P13" i="53"/>
  <c r="O13" i="53"/>
  <c r="L13" i="53"/>
  <c r="K13" i="53"/>
  <c r="F13" i="53"/>
  <c r="A13" i="53"/>
  <c r="W12" i="53"/>
  <c r="U12" i="53"/>
  <c r="T12" i="53"/>
  <c r="S12" i="53"/>
  <c r="P12" i="53"/>
  <c r="O12" i="53"/>
  <c r="M12" i="53"/>
  <c r="L12" i="53"/>
  <c r="K12" i="53"/>
  <c r="F12" i="53"/>
  <c r="A12" i="53"/>
  <c r="W11" i="53"/>
  <c r="U11" i="53"/>
  <c r="T11" i="53"/>
  <c r="S11" i="53"/>
  <c r="P11" i="53"/>
  <c r="O11" i="53"/>
  <c r="M11" i="53"/>
  <c r="L11" i="53"/>
  <c r="K11" i="53"/>
  <c r="F11" i="53"/>
  <c r="A11" i="53"/>
  <c r="Y9" i="53"/>
  <c r="X9" i="53"/>
  <c r="W9" i="53"/>
  <c r="V9" i="53"/>
  <c r="U9" i="53"/>
  <c r="T9" i="53"/>
  <c r="S9" i="53"/>
  <c r="R9" i="53"/>
  <c r="Q9" i="53"/>
  <c r="P9" i="53"/>
  <c r="O9" i="53"/>
  <c r="N9" i="53"/>
  <c r="M9" i="53"/>
  <c r="L9" i="53"/>
  <c r="K9" i="53"/>
  <c r="J9" i="53"/>
  <c r="I9" i="53"/>
  <c r="H9" i="53"/>
  <c r="G9" i="53"/>
  <c r="F9" i="53"/>
  <c r="E9" i="53"/>
  <c r="D9" i="53"/>
  <c r="W8" i="53"/>
  <c r="U8" i="53"/>
  <c r="T8" i="53"/>
  <c r="S8" i="53"/>
  <c r="P8" i="53"/>
  <c r="O8" i="53"/>
  <c r="L8" i="53"/>
  <c r="K8" i="53"/>
  <c r="F8" i="53"/>
  <c r="A8" i="53"/>
  <c r="U7" i="53"/>
  <c r="T7" i="53"/>
  <c r="O7" i="53"/>
  <c r="R49" i="52"/>
  <c r="R48" i="52"/>
  <c r="R47" i="52"/>
  <c r="R40" i="52"/>
  <c r="R39" i="52"/>
  <c r="R41" i="52" s="1"/>
  <c r="Q37" i="52"/>
  <c r="Q35" i="52"/>
  <c r="P33" i="52"/>
  <c r="M33" i="52"/>
  <c r="U31" i="52"/>
  <c r="T31" i="52"/>
  <c r="O31" i="52"/>
  <c r="Y30" i="52"/>
  <c r="X30" i="52"/>
  <c r="W30" i="52"/>
  <c r="V30" i="52"/>
  <c r="U30" i="52"/>
  <c r="T30" i="52"/>
  <c r="S30" i="52"/>
  <c r="R30" i="52"/>
  <c r="Q30" i="52"/>
  <c r="P30" i="52"/>
  <c r="O30" i="52"/>
  <c r="N30" i="52"/>
  <c r="M30" i="52"/>
  <c r="L30" i="52"/>
  <c r="K30" i="52"/>
  <c r="J30" i="52"/>
  <c r="I30" i="52"/>
  <c r="H30" i="52"/>
  <c r="G30" i="52"/>
  <c r="F30" i="52"/>
  <c r="E30" i="52"/>
  <c r="D30" i="52"/>
  <c r="A30" i="52"/>
  <c r="Y28" i="52"/>
  <c r="X28" i="52"/>
  <c r="W28" i="52"/>
  <c r="V28" i="52"/>
  <c r="U28" i="52"/>
  <c r="T28" i="52"/>
  <c r="S28" i="52"/>
  <c r="R28" i="52"/>
  <c r="Q28" i="52"/>
  <c r="P28" i="52"/>
  <c r="O28" i="52"/>
  <c r="N28" i="52"/>
  <c r="M28" i="52"/>
  <c r="L28" i="52"/>
  <c r="K28" i="52"/>
  <c r="J28" i="52"/>
  <c r="I28" i="52"/>
  <c r="H28" i="52"/>
  <c r="G28" i="52"/>
  <c r="F28" i="52"/>
  <c r="E28" i="52"/>
  <c r="D28" i="52"/>
  <c r="V27" i="52"/>
  <c r="U27" i="52"/>
  <c r="T27" i="52"/>
  <c r="S27" i="52"/>
  <c r="R27" i="52"/>
  <c r="P27" i="52"/>
  <c r="O27" i="52"/>
  <c r="N27" i="52"/>
  <c r="M27" i="52"/>
  <c r="L27" i="52"/>
  <c r="K27" i="52"/>
  <c r="F27" i="52"/>
  <c r="A27" i="52"/>
  <c r="Y25" i="52"/>
  <c r="X25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H25" i="52"/>
  <c r="G25" i="52"/>
  <c r="F25" i="52"/>
  <c r="E25" i="52"/>
  <c r="D25" i="52"/>
  <c r="V24" i="52"/>
  <c r="U24" i="52"/>
  <c r="T24" i="52"/>
  <c r="S24" i="52"/>
  <c r="P24" i="52"/>
  <c r="O24" i="52"/>
  <c r="N24" i="52"/>
  <c r="M24" i="52"/>
  <c r="L24" i="52"/>
  <c r="K24" i="52"/>
  <c r="F24" i="52"/>
  <c r="A24" i="52"/>
  <c r="V23" i="52"/>
  <c r="U23" i="52"/>
  <c r="T23" i="52"/>
  <c r="S23" i="52"/>
  <c r="P23" i="52"/>
  <c r="O23" i="52"/>
  <c r="M23" i="52"/>
  <c r="L23" i="52"/>
  <c r="K23" i="52"/>
  <c r="F23" i="52"/>
  <c r="A23" i="52"/>
  <c r="V22" i="52"/>
  <c r="U22" i="52"/>
  <c r="T22" i="52"/>
  <c r="S22" i="52"/>
  <c r="P22" i="52"/>
  <c r="O22" i="52"/>
  <c r="M22" i="52"/>
  <c r="L22" i="52"/>
  <c r="K22" i="52"/>
  <c r="F22" i="52"/>
  <c r="A22" i="52"/>
  <c r="V21" i="52"/>
  <c r="U21" i="52"/>
  <c r="T21" i="52"/>
  <c r="S21" i="52"/>
  <c r="P21" i="52"/>
  <c r="O21" i="52"/>
  <c r="M21" i="52"/>
  <c r="L21" i="52"/>
  <c r="K21" i="52"/>
  <c r="F21" i="52"/>
  <c r="A21" i="52"/>
  <c r="V20" i="52"/>
  <c r="U20" i="52"/>
  <c r="T20" i="52"/>
  <c r="S20" i="52"/>
  <c r="P20" i="52"/>
  <c r="O20" i="52"/>
  <c r="N20" i="52"/>
  <c r="M20" i="52"/>
  <c r="L20" i="52"/>
  <c r="K20" i="52"/>
  <c r="F20" i="52"/>
  <c r="A20" i="52"/>
  <c r="V19" i="52"/>
  <c r="U19" i="52"/>
  <c r="T19" i="52"/>
  <c r="S19" i="52"/>
  <c r="P19" i="52"/>
  <c r="O19" i="52"/>
  <c r="M19" i="52"/>
  <c r="L19" i="52"/>
  <c r="K19" i="52"/>
  <c r="F19" i="52"/>
  <c r="D19" i="52"/>
  <c r="A19" i="52"/>
  <c r="Y16" i="52"/>
  <c r="X16" i="52"/>
  <c r="W16" i="52"/>
  <c r="V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V15" i="52"/>
  <c r="U15" i="52"/>
  <c r="T15" i="52"/>
  <c r="S15" i="52"/>
  <c r="P15" i="52"/>
  <c r="O15" i="52"/>
  <c r="M15" i="52"/>
  <c r="L15" i="52"/>
  <c r="K15" i="52"/>
  <c r="F15" i="52"/>
  <c r="A15" i="52"/>
  <c r="V14" i="52"/>
  <c r="U14" i="52"/>
  <c r="T14" i="52"/>
  <c r="S14" i="52"/>
  <c r="P14" i="52"/>
  <c r="O14" i="52"/>
  <c r="N14" i="52"/>
  <c r="M14" i="52"/>
  <c r="L14" i="52"/>
  <c r="K14" i="52"/>
  <c r="F14" i="52"/>
  <c r="A14" i="52"/>
  <c r="V13" i="52"/>
  <c r="U13" i="52"/>
  <c r="T13" i="52"/>
  <c r="S13" i="52"/>
  <c r="P13" i="52"/>
  <c r="O13" i="52"/>
  <c r="M13" i="52"/>
  <c r="L13" i="52"/>
  <c r="K13" i="52"/>
  <c r="F13" i="52"/>
  <c r="A13" i="52"/>
  <c r="V12" i="52"/>
  <c r="U12" i="52"/>
  <c r="T12" i="52"/>
  <c r="S12" i="52"/>
  <c r="P12" i="52"/>
  <c r="O12" i="52"/>
  <c r="M12" i="52"/>
  <c r="L12" i="52"/>
  <c r="K12" i="52"/>
  <c r="F12" i="52"/>
  <c r="A12" i="52"/>
  <c r="V11" i="52"/>
  <c r="U11" i="52"/>
  <c r="T11" i="52"/>
  <c r="S11" i="52"/>
  <c r="P11" i="52"/>
  <c r="O11" i="52"/>
  <c r="M11" i="52"/>
  <c r="L11" i="52"/>
  <c r="K11" i="52"/>
  <c r="F11" i="52"/>
  <c r="D11" i="52"/>
  <c r="A11" i="52"/>
  <c r="V10" i="52"/>
  <c r="U10" i="52"/>
  <c r="T10" i="52"/>
  <c r="S10" i="52"/>
  <c r="P10" i="52"/>
  <c r="O10" i="52"/>
  <c r="M10" i="52"/>
  <c r="L10" i="52"/>
  <c r="K10" i="52"/>
  <c r="F10" i="52"/>
  <c r="A10" i="52"/>
  <c r="Y8" i="52"/>
  <c r="X8" i="52"/>
  <c r="W8" i="52"/>
  <c r="V8" i="52"/>
  <c r="U8" i="52"/>
  <c r="T8" i="52"/>
  <c r="S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E8" i="52"/>
  <c r="D8" i="52"/>
  <c r="V7" i="52"/>
  <c r="U7" i="52"/>
  <c r="T7" i="52"/>
  <c r="S7" i="52"/>
  <c r="P7" i="52"/>
  <c r="O7" i="52"/>
  <c r="M7" i="52"/>
  <c r="L7" i="52"/>
  <c r="K7" i="52"/>
  <c r="F7" i="52"/>
  <c r="A7" i="52"/>
  <c r="R115" i="51"/>
  <c r="R114" i="51"/>
  <c r="Q109" i="51"/>
  <c r="Q108" i="51"/>
  <c r="R102" i="51"/>
  <c r="Q100" i="51"/>
  <c r="Q98" i="51"/>
  <c r="Q101" i="51" s="1"/>
  <c r="Q95" i="51"/>
  <c r="Q94" i="51"/>
  <c r="Q96" i="51" s="1"/>
  <c r="Q92" i="51"/>
  <c r="Q97" i="51" s="1"/>
  <c r="P90" i="51"/>
  <c r="M90" i="51"/>
  <c r="L90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D89" i="51"/>
  <c r="A89" i="51"/>
  <c r="U87" i="51"/>
  <c r="T87" i="51"/>
  <c r="O87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D86" i="51"/>
  <c r="A86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D84" i="51"/>
  <c r="W83" i="51"/>
  <c r="U83" i="51"/>
  <c r="T83" i="51"/>
  <c r="S83" i="51"/>
  <c r="P83" i="51"/>
  <c r="O83" i="51"/>
  <c r="M83" i="51"/>
  <c r="L83" i="51"/>
  <c r="K83" i="51"/>
  <c r="F83" i="51"/>
  <c r="A83" i="51"/>
  <c r="W82" i="51"/>
  <c r="U82" i="51"/>
  <c r="T82" i="51"/>
  <c r="S82" i="51"/>
  <c r="P82" i="51"/>
  <c r="O82" i="51"/>
  <c r="M82" i="51"/>
  <c r="L82" i="51"/>
  <c r="K82" i="51"/>
  <c r="F82" i="51"/>
  <c r="A82" i="51"/>
  <c r="W81" i="51"/>
  <c r="U81" i="51"/>
  <c r="T81" i="51"/>
  <c r="S81" i="51"/>
  <c r="P81" i="51"/>
  <c r="O81" i="51"/>
  <c r="M81" i="51"/>
  <c r="L81" i="51"/>
  <c r="K81" i="51"/>
  <c r="F81" i="51"/>
  <c r="A81" i="51"/>
  <c r="W80" i="51"/>
  <c r="U80" i="51"/>
  <c r="T80" i="51"/>
  <c r="S80" i="51"/>
  <c r="P80" i="51"/>
  <c r="O80" i="51"/>
  <c r="M80" i="51"/>
  <c r="L80" i="51"/>
  <c r="K80" i="51"/>
  <c r="F80" i="51"/>
  <c r="A80" i="51"/>
  <c r="W79" i="51"/>
  <c r="U79" i="51"/>
  <c r="T79" i="51"/>
  <c r="S79" i="51"/>
  <c r="P79" i="51"/>
  <c r="O79" i="51"/>
  <c r="M79" i="51"/>
  <c r="L79" i="51"/>
  <c r="K79" i="51"/>
  <c r="F79" i="51"/>
  <c r="D79" i="51"/>
  <c r="A79" i="51"/>
  <c r="W78" i="51"/>
  <c r="U78" i="51"/>
  <c r="T78" i="51"/>
  <c r="S78" i="51"/>
  <c r="P78" i="51"/>
  <c r="O78" i="51"/>
  <c r="M78" i="51"/>
  <c r="L78" i="51"/>
  <c r="K78" i="51"/>
  <c r="F78" i="51"/>
  <c r="D78" i="51"/>
  <c r="A78" i="51"/>
  <c r="W77" i="51"/>
  <c r="U77" i="51"/>
  <c r="T77" i="51"/>
  <c r="S77" i="51"/>
  <c r="P77" i="51"/>
  <c r="O77" i="51"/>
  <c r="M77" i="51"/>
  <c r="L77" i="51"/>
  <c r="K77" i="51"/>
  <c r="F77" i="51"/>
  <c r="D77" i="51"/>
  <c r="A77" i="51"/>
  <c r="W76" i="51"/>
  <c r="U76" i="51"/>
  <c r="T76" i="51"/>
  <c r="S76" i="51"/>
  <c r="P76" i="51"/>
  <c r="O76" i="51"/>
  <c r="M76" i="51"/>
  <c r="L76" i="51"/>
  <c r="K76" i="51"/>
  <c r="F76" i="51"/>
  <c r="A76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D73" i="51"/>
  <c r="W72" i="51"/>
  <c r="U72" i="51"/>
  <c r="T72" i="51"/>
  <c r="S72" i="51"/>
  <c r="P72" i="51"/>
  <c r="O72" i="51"/>
  <c r="M72" i="51"/>
  <c r="L72" i="51"/>
  <c r="K72" i="51"/>
  <c r="F72" i="51"/>
  <c r="D72" i="51"/>
  <c r="A72" i="51"/>
  <c r="W71" i="51"/>
  <c r="U71" i="51"/>
  <c r="T71" i="51"/>
  <c r="S71" i="51"/>
  <c r="P71" i="51"/>
  <c r="O71" i="51"/>
  <c r="M71" i="51"/>
  <c r="L71" i="51"/>
  <c r="K71" i="51"/>
  <c r="F71" i="51"/>
  <c r="D71" i="51"/>
  <c r="U70" i="51"/>
  <c r="T70" i="51"/>
  <c r="O70" i="51"/>
  <c r="U69" i="51"/>
  <c r="O69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D68" i="51"/>
  <c r="A68" i="51"/>
  <c r="W67" i="51"/>
  <c r="U67" i="51"/>
  <c r="T67" i="51"/>
  <c r="S67" i="51"/>
  <c r="P67" i="51"/>
  <c r="O67" i="51"/>
  <c r="M67" i="51"/>
  <c r="L67" i="51"/>
  <c r="K67" i="51"/>
  <c r="W66" i="51"/>
  <c r="U66" i="51"/>
  <c r="T66" i="51"/>
  <c r="S66" i="51"/>
  <c r="P66" i="51"/>
  <c r="O66" i="51"/>
  <c r="M66" i="51"/>
  <c r="L66" i="51"/>
  <c r="K66" i="51"/>
  <c r="F66" i="51"/>
  <c r="A66" i="51"/>
  <c r="W65" i="51"/>
  <c r="U65" i="51"/>
  <c r="T65" i="51"/>
  <c r="S65" i="51"/>
  <c r="P65" i="51"/>
  <c r="O65" i="51"/>
  <c r="M65" i="51"/>
  <c r="L65" i="51"/>
  <c r="K65" i="51"/>
  <c r="F65" i="51"/>
  <c r="A65" i="51"/>
  <c r="W64" i="51"/>
  <c r="U64" i="51"/>
  <c r="T64" i="51"/>
  <c r="S64" i="51"/>
  <c r="P64" i="51"/>
  <c r="O64" i="51"/>
  <c r="M64" i="51"/>
  <c r="L64" i="51"/>
  <c r="K64" i="51"/>
  <c r="F64" i="51"/>
  <c r="A64" i="51"/>
  <c r="W63" i="51"/>
  <c r="U63" i="51"/>
  <c r="T63" i="51"/>
  <c r="S63" i="51"/>
  <c r="P63" i="51"/>
  <c r="O63" i="51"/>
  <c r="M63" i="51"/>
  <c r="L63" i="51"/>
  <c r="K63" i="51"/>
  <c r="F63" i="51"/>
  <c r="A63" i="51"/>
  <c r="W62" i="51"/>
  <c r="U62" i="51"/>
  <c r="T62" i="51"/>
  <c r="S62" i="51"/>
  <c r="P62" i="51"/>
  <c r="O62" i="51"/>
  <c r="M62" i="51"/>
  <c r="L62" i="51"/>
  <c r="K62" i="51"/>
  <c r="F62" i="51"/>
  <c r="A62" i="51"/>
  <c r="W61" i="51"/>
  <c r="U61" i="51"/>
  <c r="T61" i="51"/>
  <c r="S61" i="51"/>
  <c r="P61" i="51"/>
  <c r="O61" i="51"/>
  <c r="M61" i="51"/>
  <c r="L61" i="51"/>
  <c r="K61" i="51"/>
  <c r="F61" i="51"/>
  <c r="A61" i="51"/>
  <c r="W60" i="51"/>
  <c r="U60" i="51"/>
  <c r="T60" i="51"/>
  <c r="S60" i="51"/>
  <c r="P60" i="51"/>
  <c r="O60" i="51"/>
  <c r="M60" i="51"/>
  <c r="L60" i="51"/>
  <c r="K60" i="51"/>
  <c r="F60" i="51"/>
  <c r="A60" i="51"/>
  <c r="W59" i="51"/>
  <c r="U59" i="51"/>
  <c r="T59" i="51"/>
  <c r="S59" i="51"/>
  <c r="P59" i="51"/>
  <c r="O59" i="51"/>
  <c r="M59" i="51"/>
  <c r="L59" i="51"/>
  <c r="K59" i="51"/>
  <c r="F59" i="51"/>
  <c r="A59" i="51"/>
  <c r="W58" i="51"/>
  <c r="U58" i="51"/>
  <c r="T58" i="51"/>
  <c r="S58" i="51"/>
  <c r="P58" i="51"/>
  <c r="O58" i="51"/>
  <c r="M58" i="51"/>
  <c r="L58" i="51"/>
  <c r="K58" i="51"/>
  <c r="F58" i="51"/>
  <c r="A58" i="51"/>
  <c r="W57" i="51"/>
  <c r="U57" i="51"/>
  <c r="T57" i="51"/>
  <c r="S57" i="51"/>
  <c r="P57" i="51"/>
  <c r="O57" i="51"/>
  <c r="M57" i="51"/>
  <c r="L57" i="51"/>
  <c r="K57" i="51"/>
  <c r="F57" i="51"/>
  <c r="A57" i="51"/>
  <c r="W56" i="51"/>
  <c r="U56" i="51"/>
  <c r="T56" i="51"/>
  <c r="S56" i="51"/>
  <c r="P56" i="51"/>
  <c r="O56" i="51"/>
  <c r="M56" i="51"/>
  <c r="L56" i="51"/>
  <c r="K56" i="51"/>
  <c r="F56" i="51"/>
  <c r="A56" i="51"/>
  <c r="W55" i="51"/>
  <c r="U55" i="51"/>
  <c r="T55" i="51"/>
  <c r="S55" i="51"/>
  <c r="P55" i="51"/>
  <c r="O55" i="51"/>
  <c r="M55" i="51"/>
  <c r="L55" i="51"/>
  <c r="K55" i="51"/>
  <c r="F55" i="51"/>
  <c r="D55" i="51"/>
  <c r="A55" i="51"/>
  <c r="W54" i="51"/>
  <c r="U54" i="51"/>
  <c r="T54" i="51"/>
  <c r="S54" i="51"/>
  <c r="P54" i="51"/>
  <c r="O54" i="51"/>
  <c r="M54" i="51"/>
  <c r="L54" i="51"/>
  <c r="K54" i="51"/>
  <c r="F54" i="51"/>
  <c r="A54" i="51"/>
  <c r="W53" i="51"/>
  <c r="U53" i="51"/>
  <c r="T53" i="51"/>
  <c r="S53" i="51"/>
  <c r="P53" i="51"/>
  <c r="O53" i="51"/>
  <c r="M53" i="51"/>
  <c r="L53" i="51"/>
  <c r="K53" i="51"/>
  <c r="F53" i="51"/>
  <c r="A53" i="51"/>
  <c r="W52" i="51"/>
  <c r="U52" i="51"/>
  <c r="T52" i="51"/>
  <c r="S52" i="51"/>
  <c r="P52" i="51"/>
  <c r="O52" i="51"/>
  <c r="M52" i="51"/>
  <c r="L52" i="51"/>
  <c r="K52" i="51"/>
  <c r="F52" i="51"/>
  <c r="A52" i="51"/>
  <c r="W51" i="51"/>
  <c r="U51" i="51"/>
  <c r="T51" i="51"/>
  <c r="S51" i="51"/>
  <c r="P51" i="51"/>
  <c r="O51" i="51"/>
  <c r="M51" i="51"/>
  <c r="L51" i="51"/>
  <c r="K51" i="51"/>
  <c r="F51" i="51"/>
  <c r="A51" i="51"/>
  <c r="W50" i="51"/>
  <c r="U50" i="51"/>
  <c r="T50" i="51"/>
  <c r="S50" i="51"/>
  <c r="P50" i="51"/>
  <c r="O50" i="51"/>
  <c r="M50" i="51"/>
  <c r="L50" i="51"/>
  <c r="K50" i="51"/>
  <c r="F50" i="51"/>
  <c r="A50" i="51"/>
  <c r="W49" i="51"/>
  <c r="U49" i="51"/>
  <c r="T49" i="51"/>
  <c r="S49" i="51"/>
  <c r="P49" i="51"/>
  <c r="O49" i="51"/>
  <c r="M49" i="51"/>
  <c r="L49" i="51"/>
  <c r="K49" i="51"/>
  <c r="F49" i="51"/>
  <c r="A49" i="51"/>
  <c r="W48" i="51"/>
  <c r="U48" i="51"/>
  <c r="T48" i="51"/>
  <c r="S48" i="51"/>
  <c r="P48" i="51"/>
  <c r="O48" i="51"/>
  <c r="M48" i="51"/>
  <c r="L48" i="51"/>
  <c r="K48" i="51"/>
  <c r="F48" i="51"/>
  <c r="A48" i="51"/>
  <c r="W47" i="51"/>
  <c r="U47" i="51"/>
  <c r="T47" i="51"/>
  <c r="S47" i="51"/>
  <c r="P47" i="51"/>
  <c r="O47" i="51"/>
  <c r="M47" i="51"/>
  <c r="L47" i="51"/>
  <c r="K47" i="51"/>
  <c r="F47" i="51"/>
  <c r="A47" i="51"/>
  <c r="W46" i="51"/>
  <c r="U46" i="51"/>
  <c r="T46" i="51"/>
  <c r="S46" i="51"/>
  <c r="P46" i="51"/>
  <c r="O46" i="51"/>
  <c r="M46" i="51"/>
  <c r="L46" i="51"/>
  <c r="K46" i="51"/>
  <c r="F46" i="51"/>
  <c r="A46" i="51"/>
  <c r="W45" i="51"/>
  <c r="U45" i="51"/>
  <c r="T45" i="51"/>
  <c r="S45" i="51"/>
  <c r="P45" i="51"/>
  <c r="O45" i="51"/>
  <c r="M45" i="51"/>
  <c r="L45" i="51"/>
  <c r="K45" i="51"/>
  <c r="F45" i="51"/>
  <c r="U44" i="51"/>
  <c r="T44" i="51"/>
  <c r="Y42" i="51"/>
  <c r="X42" i="51"/>
  <c r="W42" i="51"/>
  <c r="V42" i="51"/>
  <c r="U42" i="51"/>
  <c r="T42" i="51"/>
  <c r="S42" i="51"/>
  <c r="R42" i="51"/>
  <c r="Q42" i="51"/>
  <c r="P42" i="51"/>
  <c r="O42" i="51"/>
  <c r="N42" i="51"/>
  <c r="M42" i="51"/>
  <c r="L42" i="51"/>
  <c r="K42" i="51"/>
  <c r="J42" i="51"/>
  <c r="I42" i="51"/>
  <c r="H42" i="51"/>
  <c r="G42" i="51"/>
  <c r="F42" i="51"/>
  <c r="E42" i="51"/>
  <c r="D42" i="51"/>
  <c r="A42" i="51"/>
  <c r="Y40" i="51"/>
  <c r="X40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K40" i="51"/>
  <c r="J40" i="51"/>
  <c r="I40" i="51"/>
  <c r="H40" i="51"/>
  <c r="G40" i="51"/>
  <c r="F40" i="51"/>
  <c r="E40" i="51"/>
  <c r="D40" i="51"/>
  <c r="W39" i="51"/>
  <c r="U39" i="51"/>
  <c r="T39" i="51"/>
  <c r="S39" i="51"/>
  <c r="P39" i="51"/>
  <c r="O39" i="51"/>
  <c r="M39" i="51"/>
  <c r="L39" i="51"/>
  <c r="K39" i="51"/>
  <c r="F39" i="51"/>
  <c r="A39" i="51"/>
  <c r="Y37" i="51"/>
  <c r="X37" i="51"/>
  <c r="W37" i="51"/>
  <c r="V37" i="5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W36" i="51"/>
  <c r="U36" i="51"/>
  <c r="T36" i="51"/>
  <c r="S36" i="51"/>
  <c r="P36" i="51"/>
  <c r="O36" i="51"/>
  <c r="M36" i="51"/>
  <c r="L36" i="51"/>
  <c r="K36" i="51"/>
  <c r="F36" i="51"/>
  <c r="A36" i="51"/>
  <c r="Y34" i="51"/>
  <c r="X34" i="51"/>
  <c r="W34" i="51"/>
  <c r="V34" i="5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W33" i="51"/>
  <c r="U33" i="51"/>
  <c r="T33" i="51"/>
  <c r="S33" i="51"/>
  <c r="P33" i="51"/>
  <c r="O33" i="51"/>
  <c r="N33" i="51"/>
  <c r="M33" i="51"/>
  <c r="L33" i="51"/>
  <c r="K33" i="51"/>
  <c r="F33" i="51"/>
  <c r="A33" i="51"/>
  <c r="D31" i="51"/>
  <c r="W30" i="51"/>
  <c r="U30" i="51"/>
  <c r="T30" i="51"/>
  <c r="S30" i="51"/>
  <c r="P30" i="51"/>
  <c r="O30" i="51"/>
  <c r="M30" i="51"/>
  <c r="L30" i="51"/>
  <c r="K30" i="51"/>
  <c r="F30" i="51"/>
  <c r="A30" i="51"/>
  <c r="Y27" i="51"/>
  <c r="X27" i="51"/>
  <c r="W27" i="51"/>
  <c r="V27" i="51"/>
  <c r="U27" i="51"/>
  <c r="T27" i="51"/>
  <c r="S27" i="51"/>
  <c r="R27" i="51"/>
  <c r="Q27" i="51"/>
  <c r="P27" i="51"/>
  <c r="O27" i="51"/>
  <c r="N27" i="51"/>
  <c r="M27" i="51"/>
  <c r="L27" i="51"/>
  <c r="K27" i="51"/>
  <c r="J27" i="51"/>
  <c r="I27" i="51"/>
  <c r="H27" i="51"/>
  <c r="G27" i="51"/>
  <c r="F27" i="51"/>
  <c r="E27" i="51"/>
  <c r="D27" i="51"/>
  <c r="W26" i="51"/>
  <c r="U26" i="51"/>
  <c r="T26" i="51"/>
  <c r="S26" i="51"/>
  <c r="P26" i="51"/>
  <c r="O26" i="51"/>
  <c r="M26" i="51"/>
  <c r="L26" i="51"/>
  <c r="K26" i="51"/>
  <c r="F26" i="51"/>
  <c r="D26" i="51"/>
  <c r="A26" i="51"/>
  <c r="W25" i="51"/>
  <c r="U25" i="51"/>
  <c r="T25" i="51"/>
  <c r="S25" i="51"/>
  <c r="P25" i="51"/>
  <c r="O25" i="51"/>
  <c r="M25" i="51"/>
  <c r="L25" i="51"/>
  <c r="K25" i="51"/>
  <c r="F25" i="51"/>
  <c r="A25" i="51"/>
  <c r="W24" i="51"/>
  <c r="V24" i="51"/>
  <c r="U24" i="51"/>
  <c r="T24" i="51"/>
  <c r="S24" i="51"/>
  <c r="P24" i="51"/>
  <c r="O24" i="51"/>
  <c r="N24" i="51"/>
  <c r="M24" i="51"/>
  <c r="L24" i="51"/>
  <c r="K24" i="51"/>
  <c r="F24" i="51"/>
  <c r="A24" i="51"/>
  <c r="W23" i="51"/>
  <c r="U23" i="51"/>
  <c r="T23" i="51"/>
  <c r="S23" i="51"/>
  <c r="P23" i="51"/>
  <c r="O23" i="51"/>
  <c r="M23" i="51"/>
  <c r="L23" i="51"/>
  <c r="K23" i="51"/>
  <c r="F23" i="51"/>
  <c r="A23" i="51"/>
  <c r="W22" i="51"/>
  <c r="U22" i="51"/>
  <c r="T22" i="51"/>
  <c r="S22" i="51"/>
  <c r="P22" i="51"/>
  <c r="O22" i="51"/>
  <c r="N22" i="51"/>
  <c r="M22" i="51"/>
  <c r="L22" i="51"/>
  <c r="K22" i="51"/>
  <c r="F22" i="51"/>
  <c r="A22" i="51"/>
  <c r="W21" i="51"/>
  <c r="U21" i="51"/>
  <c r="T21" i="51"/>
  <c r="S21" i="51"/>
  <c r="P21" i="51"/>
  <c r="O21" i="51"/>
  <c r="N21" i="51"/>
  <c r="M21" i="51"/>
  <c r="L21" i="51"/>
  <c r="K21" i="51"/>
  <c r="F21" i="51"/>
  <c r="A21" i="51"/>
  <c r="W20" i="51"/>
  <c r="U20" i="51"/>
  <c r="T20" i="51"/>
  <c r="S20" i="51"/>
  <c r="P20" i="51"/>
  <c r="O20" i="51"/>
  <c r="N20" i="51"/>
  <c r="M20" i="51"/>
  <c r="L20" i="51"/>
  <c r="K20" i="51"/>
  <c r="F20" i="51"/>
  <c r="A20" i="51"/>
  <c r="W19" i="51"/>
  <c r="U19" i="51"/>
  <c r="T19" i="51"/>
  <c r="S19" i="51"/>
  <c r="P19" i="51"/>
  <c r="O19" i="51"/>
  <c r="N19" i="51"/>
  <c r="M19" i="51"/>
  <c r="L19" i="51"/>
  <c r="K19" i="51"/>
  <c r="F19" i="51"/>
  <c r="A19" i="51"/>
  <c r="W18" i="51"/>
  <c r="U18" i="51"/>
  <c r="T18" i="51"/>
  <c r="S18" i="51"/>
  <c r="P18" i="51"/>
  <c r="O18" i="51"/>
  <c r="N18" i="51"/>
  <c r="M18" i="51"/>
  <c r="L18" i="51"/>
  <c r="K18" i="51"/>
  <c r="F18" i="51"/>
  <c r="A18" i="51"/>
  <c r="W17" i="51"/>
  <c r="U17" i="51"/>
  <c r="T17" i="51"/>
  <c r="S17" i="51"/>
  <c r="Q17" i="51"/>
  <c r="P17" i="51"/>
  <c r="O17" i="51"/>
  <c r="N17" i="51"/>
  <c r="M17" i="51"/>
  <c r="L17" i="51"/>
  <c r="K17" i="51"/>
  <c r="F17" i="51"/>
  <c r="A17" i="51"/>
  <c r="W16" i="51"/>
  <c r="U16" i="51"/>
  <c r="T16" i="51"/>
  <c r="S16" i="51"/>
  <c r="P16" i="51"/>
  <c r="O16" i="51"/>
  <c r="M16" i="51"/>
  <c r="L16" i="51"/>
  <c r="K16" i="51"/>
  <c r="F16" i="51"/>
  <c r="D16" i="51"/>
  <c r="A16" i="51"/>
  <c r="W15" i="51"/>
  <c r="U15" i="51"/>
  <c r="T15" i="51"/>
  <c r="S15" i="51"/>
  <c r="P15" i="51"/>
  <c r="O15" i="51"/>
  <c r="N15" i="51"/>
  <c r="M15" i="51"/>
  <c r="L15" i="51"/>
  <c r="K15" i="51"/>
  <c r="F15" i="51"/>
  <c r="A15" i="51"/>
  <c r="W14" i="51"/>
  <c r="U14" i="51"/>
  <c r="T14" i="51"/>
  <c r="S14" i="51"/>
  <c r="P14" i="51"/>
  <c r="O14" i="51"/>
  <c r="N14" i="51"/>
  <c r="M14" i="51"/>
  <c r="L14" i="51"/>
  <c r="K14" i="51"/>
  <c r="F14" i="51"/>
  <c r="A14" i="51"/>
  <c r="W13" i="51"/>
  <c r="U13" i="51"/>
  <c r="T13" i="51"/>
  <c r="S13" i="51"/>
  <c r="P13" i="51"/>
  <c r="O13" i="51"/>
  <c r="N13" i="51"/>
  <c r="M13" i="51"/>
  <c r="L13" i="51"/>
  <c r="K13" i="51"/>
  <c r="F13" i="51"/>
  <c r="A13" i="51"/>
  <c r="W12" i="51"/>
  <c r="U12" i="51"/>
  <c r="T12" i="51"/>
  <c r="S12" i="51"/>
  <c r="P12" i="51"/>
  <c r="O12" i="51"/>
  <c r="M12" i="51"/>
  <c r="L12" i="51"/>
  <c r="K12" i="51"/>
  <c r="F12" i="51"/>
  <c r="A12" i="51"/>
  <c r="Y10" i="51"/>
  <c r="X10" i="51"/>
  <c r="W10" i="51"/>
  <c r="V10" i="51"/>
  <c r="U10" i="51"/>
  <c r="T10" i="51"/>
  <c r="S10" i="51"/>
  <c r="R10" i="51"/>
  <c r="Q10" i="51"/>
  <c r="P10" i="51"/>
  <c r="O10" i="51"/>
  <c r="N10" i="51"/>
  <c r="M10" i="51"/>
  <c r="L10" i="51"/>
  <c r="K10" i="51"/>
  <c r="J10" i="51"/>
  <c r="I10" i="51"/>
  <c r="H10" i="51"/>
  <c r="G10" i="51"/>
  <c r="F10" i="51"/>
  <c r="E10" i="51"/>
  <c r="D10" i="51"/>
  <c r="W9" i="51"/>
  <c r="U9" i="51"/>
  <c r="T9" i="51"/>
  <c r="S9" i="51"/>
  <c r="P9" i="51"/>
  <c r="O9" i="51"/>
  <c r="M9" i="51"/>
  <c r="L9" i="51"/>
  <c r="K9" i="51"/>
  <c r="F9" i="51"/>
  <c r="A9" i="51"/>
  <c r="W8" i="51"/>
  <c r="U8" i="51"/>
  <c r="T8" i="51"/>
  <c r="S8" i="51"/>
  <c r="P8" i="51"/>
  <c r="O8" i="51"/>
  <c r="M8" i="51"/>
  <c r="L8" i="51"/>
  <c r="K8" i="51"/>
  <c r="F8" i="51"/>
  <c r="A8" i="51"/>
  <c r="R65" i="58"/>
  <c r="R60" i="58"/>
  <c r="R59" i="58"/>
  <c r="R61" i="58" s="1"/>
  <c r="Q57" i="58"/>
  <c r="Q56" i="58"/>
  <c r="Q58" i="58" s="1"/>
  <c r="Q54" i="58"/>
  <c r="P52" i="58"/>
  <c r="M52" i="58"/>
  <c r="L52" i="58"/>
  <c r="Y50" i="58"/>
  <c r="X50" i="58"/>
  <c r="W50" i="58"/>
  <c r="V50" i="58"/>
  <c r="U50" i="58"/>
  <c r="T50" i="58"/>
  <c r="S50" i="58"/>
  <c r="R50" i="58"/>
  <c r="Q50" i="58"/>
  <c r="P50" i="58"/>
  <c r="O50" i="58"/>
  <c r="N50" i="58"/>
  <c r="M50" i="58"/>
  <c r="L50" i="58"/>
  <c r="K50" i="58"/>
  <c r="J50" i="58"/>
  <c r="I50" i="58"/>
  <c r="H50" i="58"/>
  <c r="G50" i="58"/>
  <c r="F50" i="58"/>
  <c r="E50" i="58"/>
  <c r="D50" i="58"/>
  <c r="A50" i="58"/>
  <c r="Y48" i="58"/>
  <c r="X48" i="58"/>
  <c r="W48" i="58"/>
  <c r="V48" i="58"/>
  <c r="U48" i="58"/>
  <c r="T48" i="58"/>
  <c r="S48" i="58"/>
  <c r="R48" i="58"/>
  <c r="Q48" i="58"/>
  <c r="P48" i="58"/>
  <c r="O48" i="58"/>
  <c r="N48" i="58"/>
  <c r="M48" i="58"/>
  <c r="L48" i="58"/>
  <c r="K48" i="58"/>
  <c r="J48" i="58"/>
  <c r="I48" i="58"/>
  <c r="H48" i="58"/>
  <c r="G48" i="58"/>
  <c r="F48" i="58"/>
  <c r="E48" i="58"/>
  <c r="D48" i="58"/>
  <c r="A48" i="58"/>
  <c r="W46" i="58"/>
  <c r="V46" i="58"/>
  <c r="U46" i="58"/>
  <c r="T46" i="58"/>
  <c r="S46" i="58"/>
  <c r="R46" i="58"/>
  <c r="Q46" i="58"/>
  <c r="P46" i="58"/>
  <c r="O46" i="58"/>
  <c r="N46" i="58"/>
  <c r="M46" i="58"/>
  <c r="L46" i="58"/>
  <c r="K46" i="58"/>
  <c r="J46" i="58"/>
  <c r="I46" i="58"/>
  <c r="H46" i="58"/>
  <c r="G46" i="58"/>
  <c r="F46" i="58"/>
  <c r="E46" i="58"/>
  <c r="D46" i="58"/>
  <c r="W45" i="58"/>
  <c r="U45" i="58"/>
  <c r="T45" i="58"/>
  <c r="S45" i="58"/>
  <c r="P45" i="58"/>
  <c r="O45" i="58"/>
  <c r="N45" i="58"/>
  <c r="M45" i="58"/>
  <c r="L45" i="58"/>
  <c r="K45" i="58"/>
  <c r="F45" i="58"/>
  <c r="A45" i="58"/>
  <c r="Y43" i="58"/>
  <c r="X43" i="58"/>
  <c r="W43" i="58"/>
  <c r="V43" i="58"/>
  <c r="U43" i="58"/>
  <c r="T43" i="58"/>
  <c r="S43" i="58"/>
  <c r="R43" i="58"/>
  <c r="Q43" i="58"/>
  <c r="P43" i="58"/>
  <c r="O43" i="58"/>
  <c r="N43" i="58"/>
  <c r="M43" i="58"/>
  <c r="L43" i="58"/>
  <c r="K43" i="58"/>
  <c r="J43" i="58"/>
  <c r="I43" i="58"/>
  <c r="H43" i="58"/>
  <c r="G43" i="58"/>
  <c r="F43" i="58"/>
  <c r="E43" i="58"/>
  <c r="D43" i="58"/>
  <c r="W42" i="58"/>
  <c r="U42" i="58"/>
  <c r="S42" i="58"/>
  <c r="P42" i="58"/>
  <c r="O42" i="58"/>
  <c r="M42" i="58"/>
  <c r="L42" i="58"/>
  <c r="K42" i="58"/>
  <c r="F42" i="58"/>
  <c r="A42" i="58"/>
  <c r="W41" i="58"/>
  <c r="U41" i="58"/>
  <c r="P41" i="58"/>
  <c r="O41" i="58"/>
  <c r="M41" i="58"/>
  <c r="L41" i="58"/>
  <c r="K41" i="58"/>
  <c r="F41" i="58"/>
  <c r="A41" i="58"/>
  <c r="W40" i="58"/>
  <c r="U40" i="58"/>
  <c r="P40" i="58"/>
  <c r="O40" i="58"/>
  <c r="M40" i="58"/>
  <c r="L40" i="58"/>
  <c r="K40" i="58"/>
  <c r="F40" i="58"/>
  <c r="A40" i="58"/>
  <c r="W39" i="58"/>
  <c r="U39" i="58"/>
  <c r="T39" i="58"/>
  <c r="S39" i="58"/>
  <c r="P39" i="58"/>
  <c r="O39" i="58"/>
  <c r="M39" i="58"/>
  <c r="L39" i="58"/>
  <c r="K39" i="58"/>
  <c r="F39" i="58"/>
  <c r="A39" i="58"/>
  <c r="W38" i="58"/>
  <c r="U38" i="58"/>
  <c r="T38" i="58"/>
  <c r="S38" i="58"/>
  <c r="P38" i="58"/>
  <c r="O38" i="58"/>
  <c r="M38" i="58"/>
  <c r="L38" i="58"/>
  <c r="K38" i="58"/>
  <c r="F38" i="58"/>
  <c r="A38" i="58"/>
  <c r="W37" i="58"/>
  <c r="U37" i="58"/>
  <c r="T37" i="58"/>
  <c r="S37" i="58"/>
  <c r="P37" i="58"/>
  <c r="O37" i="58"/>
  <c r="M37" i="58"/>
  <c r="L37" i="58"/>
  <c r="K37" i="58"/>
  <c r="F37" i="58"/>
  <c r="A37" i="58"/>
  <c r="W36" i="58"/>
  <c r="U36" i="58"/>
  <c r="T36" i="58"/>
  <c r="S36" i="58"/>
  <c r="P36" i="58"/>
  <c r="O36" i="58"/>
  <c r="N36" i="58"/>
  <c r="M36" i="58"/>
  <c r="L36" i="58"/>
  <c r="K36" i="58"/>
  <c r="F36" i="58"/>
  <c r="A36" i="58"/>
  <c r="W35" i="58"/>
  <c r="U35" i="58"/>
  <c r="T35" i="58"/>
  <c r="S35" i="58"/>
  <c r="P35" i="58"/>
  <c r="O35" i="58"/>
  <c r="M35" i="58"/>
  <c r="L35" i="58"/>
  <c r="K35" i="58"/>
  <c r="F35" i="58"/>
  <c r="A35" i="58"/>
  <c r="W34" i="58"/>
  <c r="U34" i="58"/>
  <c r="T34" i="58"/>
  <c r="S34" i="58"/>
  <c r="P34" i="58"/>
  <c r="O34" i="58"/>
  <c r="M34" i="58"/>
  <c r="L34" i="58"/>
  <c r="K34" i="58"/>
  <c r="F34" i="58"/>
  <c r="D34" i="58"/>
  <c r="A34" i="58"/>
  <c r="W33" i="58"/>
  <c r="U33" i="58"/>
  <c r="T33" i="58"/>
  <c r="S33" i="58"/>
  <c r="P33" i="58"/>
  <c r="O33" i="58"/>
  <c r="M33" i="58"/>
  <c r="L33" i="58"/>
  <c r="K33" i="58"/>
  <c r="F33" i="58"/>
  <c r="A33" i="58"/>
  <c r="W32" i="58"/>
  <c r="U32" i="58"/>
  <c r="T32" i="58"/>
  <c r="S32" i="58"/>
  <c r="P32" i="58"/>
  <c r="O32" i="58"/>
  <c r="M32" i="58"/>
  <c r="L32" i="58"/>
  <c r="K32" i="58"/>
  <c r="F32" i="58"/>
  <c r="A32" i="58"/>
  <c r="W31" i="58"/>
  <c r="U31" i="58"/>
  <c r="T31" i="58"/>
  <c r="S31" i="58"/>
  <c r="P31" i="58"/>
  <c r="O31" i="58"/>
  <c r="M31" i="58"/>
  <c r="L31" i="58"/>
  <c r="K31" i="58"/>
  <c r="F31" i="58"/>
  <c r="D31" i="58"/>
  <c r="A31" i="58"/>
  <c r="W30" i="58"/>
  <c r="U30" i="58"/>
  <c r="T30" i="58"/>
  <c r="S30" i="58"/>
  <c r="P30" i="58"/>
  <c r="O30" i="58"/>
  <c r="M30" i="58"/>
  <c r="L30" i="58"/>
  <c r="K30" i="58"/>
  <c r="F30" i="58"/>
  <c r="A30" i="58"/>
  <c r="W29" i="58"/>
  <c r="U29" i="58"/>
  <c r="T29" i="58"/>
  <c r="S29" i="58"/>
  <c r="P29" i="58"/>
  <c r="O29" i="58"/>
  <c r="M29" i="58"/>
  <c r="L29" i="58"/>
  <c r="K29" i="58"/>
  <c r="F29" i="58"/>
  <c r="A29" i="58"/>
  <c r="U28" i="58"/>
  <c r="T28" i="58"/>
  <c r="Y26" i="58"/>
  <c r="X26" i="58"/>
  <c r="W26" i="58"/>
  <c r="V26" i="58"/>
  <c r="U26" i="58"/>
  <c r="T26" i="58"/>
  <c r="S26" i="58"/>
  <c r="R26" i="58"/>
  <c r="Q26" i="58"/>
  <c r="P26" i="58"/>
  <c r="O26" i="58"/>
  <c r="N26" i="58"/>
  <c r="M26" i="58"/>
  <c r="L26" i="58"/>
  <c r="K26" i="58"/>
  <c r="J26" i="58"/>
  <c r="I26" i="58"/>
  <c r="H26" i="58"/>
  <c r="G26" i="58"/>
  <c r="F26" i="58"/>
  <c r="E26" i="58"/>
  <c r="D26" i="58"/>
  <c r="A26" i="58"/>
  <c r="W25" i="58"/>
  <c r="U25" i="58"/>
  <c r="T25" i="58"/>
  <c r="S25" i="58"/>
  <c r="Q25" i="58"/>
  <c r="P25" i="58"/>
  <c r="O25" i="58"/>
  <c r="M25" i="58"/>
  <c r="L25" i="58"/>
  <c r="K25" i="58"/>
  <c r="F25" i="58"/>
  <c r="A25" i="58"/>
  <c r="W24" i="58"/>
  <c r="U24" i="58"/>
  <c r="T24" i="58"/>
  <c r="S24" i="58"/>
  <c r="Q24" i="58"/>
  <c r="P24" i="58"/>
  <c r="O24" i="58"/>
  <c r="M24" i="58"/>
  <c r="L24" i="58"/>
  <c r="K24" i="58"/>
  <c r="F24" i="58"/>
  <c r="A24" i="58"/>
  <c r="W23" i="58"/>
  <c r="U23" i="58"/>
  <c r="T23" i="58"/>
  <c r="S23" i="58"/>
  <c r="Q23" i="58"/>
  <c r="P23" i="58"/>
  <c r="O23" i="58"/>
  <c r="M23" i="58"/>
  <c r="L23" i="58"/>
  <c r="K23" i="58"/>
  <c r="F23" i="58"/>
  <c r="A23" i="58"/>
  <c r="W22" i="58"/>
  <c r="U22" i="58"/>
  <c r="T22" i="58"/>
  <c r="S22" i="58"/>
  <c r="Q22" i="58"/>
  <c r="P22" i="58"/>
  <c r="O22" i="58"/>
  <c r="M22" i="58"/>
  <c r="L22" i="58"/>
  <c r="K22" i="58"/>
  <c r="F22" i="58"/>
  <c r="A22" i="58"/>
  <c r="W21" i="58"/>
  <c r="U21" i="58"/>
  <c r="T21" i="58"/>
  <c r="S21" i="58"/>
  <c r="P21" i="58"/>
  <c r="O21" i="58"/>
  <c r="M21" i="58"/>
  <c r="L21" i="58"/>
  <c r="K21" i="58"/>
  <c r="F21" i="58"/>
  <c r="A21" i="58"/>
  <c r="W20" i="58"/>
  <c r="U20" i="58"/>
  <c r="T20" i="58"/>
  <c r="S20" i="58"/>
  <c r="Q20" i="58"/>
  <c r="P20" i="58"/>
  <c r="O20" i="58"/>
  <c r="M20" i="58"/>
  <c r="L20" i="58"/>
  <c r="K20" i="58"/>
  <c r="F20" i="58"/>
  <c r="A20" i="58"/>
  <c r="W19" i="58"/>
  <c r="U19" i="58"/>
  <c r="T19" i="58"/>
  <c r="S19" i="58"/>
  <c r="Q19" i="58"/>
  <c r="P19" i="58"/>
  <c r="O19" i="58"/>
  <c r="M19" i="58"/>
  <c r="L19" i="58"/>
  <c r="K19" i="58"/>
  <c r="F19" i="58"/>
  <c r="A19" i="58"/>
  <c r="W18" i="58"/>
  <c r="U18" i="58"/>
  <c r="T18" i="58"/>
  <c r="S18" i="58"/>
  <c r="Q18" i="58"/>
  <c r="P18" i="58"/>
  <c r="O18" i="58"/>
  <c r="M18" i="58"/>
  <c r="L18" i="58"/>
  <c r="K18" i="58"/>
  <c r="G18" i="58"/>
  <c r="F18" i="58"/>
  <c r="A18" i="58"/>
  <c r="W17" i="58"/>
  <c r="U17" i="58"/>
  <c r="T17" i="58"/>
  <c r="S17" i="58"/>
  <c r="Q17" i="58"/>
  <c r="P17" i="58"/>
  <c r="O17" i="58"/>
  <c r="M17" i="58"/>
  <c r="L17" i="58"/>
  <c r="K17" i="58"/>
  <c r="F17" i="58"/>
  <c r="A17" i="58"/>
  <c r="W16" i="58"/>
  <c r="U16" i="58"/>
  <c r="T16" i="58"/>
  <c r="S16" i="58"/>
  <c r="Q16" i="58"/>
  <c r="P16" i="58"/>
  <c r="O16" i="58"/>
  <c r="M16" i="58"/>
  <c r="L16" i="58"/>
  <c r="K16" i="58"/>
  <c r="F16" i="58"/>
  <c r="A16" i="58"/>
  <c r="W15" i="58"/>
  <c r="U15" i="58"/>
  <c r="T15" i="58"/>
  <c r="S15" i="58"/>
  <c r="P15" i="58"/>
  <c r="O15" i="58"/>
  <c r="M15" i="58"/>
  <c r="L15" i="58"/>
  <c r="K15" i="58"/>
  <c r="F15" i="58"/>
  <c r="A15" i="58"/>
  <c r="W14" i="58"/>
  <c r="U14" i="58"/>
  <c r="T14" i="58"/>
  <c r="S14" i="58"/>
  <c r="P14" i="58"/>
  <c r="O14" i="58"/>
  <c r="M14" i="58"/>
  <c r="L14" i="58"/>
  <c r="K14" i="58"/>
  <c r="F14" i="58"/>
  <c r="A14" i="58"/>
  <c r="W13" i="58"/>
  <c r="U13" i="58"/>
  <c r="T13" i="58"/>
  <c r="S13" i="58"/>
  <c r="Q13" i="58"/>
  <c r="P13" i="58"/>
  <c r="O13" i="58"/>
  <c r="M13" i="58"/>
  <c r="L13" i="58"/>
  <c r="K13" i="58"/>
  <c r="F13" i="58"/>
  <c r="A13" i="58"/>
  <c r="W12" i="58"/>
  <c r="U12" i="58"/>
  <c r="T12" i="58"/>
  <c r="S12" i="58"/>
  <c r="P12" i="58"/>
  <c r="O12" i="58"/>
  <c r="M12" i="58"/>
  <c r="L12" i="58"/>
  <c r="K12" i="58"/>
  <c r="F12" i="58"/>
  <c r="A12" i="58"/>
  <c r="W11" i="58"/>
  <c r="U11" i="58"/>
  <c r="T11" i="58"/>
  <c r="S11" i="58"/>
  <c r="Q11" i="58"/>
  <c r="P11" i="58"/>
  <c r="O11" i="58"/>
  <c r="M11" i="58"/>
  <c r="L11" i="58"/>
  <c r="K11" i="58"/>
  <c r="F11" i="58"/>
  <c r="A11" i="58"/>
  <c r="Y10" i="58"/>
  <c r="W10" i="58"/>
  <c r="U10" i="58"/>
  <c r="T10" i="58"/>
  <c r="S10" i="58"/>
  <c r="P10" i="58"/>
  <c r="O10" i="58"/>
  <c r="N10" i="58"/>
  <c r="M10" i="58"/>
  <c r="L10" i="58"/>
  <c r="K10" i="58"/>
  <c r="G10" i="58"/>
  <c r="F10" i="58"/>
  <c r="A10" i="58"/>
  <c r="W9" i="58"/>
  <c r="U9" i="58"/>
  <c r="T9" i="58"/>
  <c r="S9" i="58"/>
  <c r="Q9" i="58"/>
  <c r="P9" i="58"/>
  <c r="O9" i="58"/>
  <c r="M9" i="58"/>
  <c r="L9" i="58"/>
  <c r="K9" i="58"/>
  <c r="F9" i="58"/>
  <c r="A9" i="58"/>
  <c r="W8" i="58"/>
  <c r="U8" i="58"/>
  <c r="T8" i="58"/>
  <c r="S8" i="58"/>
  <c r="Q8" i="58"/>
  <c r="P8" i="58"/>
  <c r="O8" i="58"/>
  <c r="M8" i="58"/>
  <c r="L8" i="58"/>
  <c r="K8" i="58"/>
  <c r="F8" i="58"/>
  <c r="A8" i="58"/>
  <c r="Q30" i="50"/>
  <c r="Q29" i="50"/>
  <c r="Q28" i="50"/>
  <c r="R26" i="50"/>
  <c r="R23" i="50"/>
  <c r="Q21" i="50"/>
  <c r="P19" i="50"/>
  <c r="Y17" i="50"/>
  <c r="X17" i="50"/>
  <c r="W17" i="50"/>
  <c r="V17" i="50"/>
  <c r="U17" i="50"/>
  <c r="T17" i="50"/>
  <c r="S17" i="50"/>
  <c r="R17" i="50"/>
  <c r="Q17" i="50"/>
  <c r="P17" i="50"/>
  <c r="O17" i="50"/>
  <c r="N17" i="50"/>
  <c r="M17" i="50"/>
  <c r="L17" i="50"/>
  <c r="K17" i="50"/>
  <c r="J17" i="50"/>
  <c r="I17" i="50"/>
  <c r="H17" i="50"/>
  <c r="G17" i="50"/>
  <c r="F17" i="50"/>
  <c r="E17" i="50"/>
  <c r="D17" i="50"/>
  <c r="A17" i="50"/>
  <c r="Y14" i="50"/>
  <c r="X14" i="50"/>
  <c r="W14" i="50"/>
  <c r="V14" i="50"/>
  <c r="U14" i="50"/>
  <c r="T14" i="50"/>
  <c r="S14" i="50"/>
  <c r="R14" i="50"/>
  <c r="Q14" i="50"/>
  <c r="P14" i="50"/>
  <c r="O14" i="50"/>
  <c r="N14" i="50"/>
  <c r="M14" i="50"/>
  <c r="L14" i="50"/>
  <c r="K14" i="50"/>
  <c r="J14" i="50"/>
  <c r="I14" i="50"/>
  <c r="H14" i="50"/>
  <c r="G14" i="50"/>
  <c r="F14" i="50"/>
  <c r="E14" i="50"/>
  <c r="D14" i="50"/>
  <c r="W13" i="50"/>
  <c r="U13" i="50"/>
  <c r="T13" i="50"/>
  <c r="S13" i="50"/>
  <c r="P13" i="50"/>
  <c r="O13" i="50"/>
  <c r="M13" i="50"/>
  <c r="L13" i="50"/>
  <c r="K13" i="50"/>
  <c r="F13" i="50"/>
  <c r="A13" i="50"/>
  <c r="Y11" i="50"/>
  <c r="X11" i="50"/>
  <c r="W11" i="50"/>
  <c r="V11" i="50"/>
  <c r="U11" i="50"/>
  <c r="T11" i="50"/>
  <c r="S11" i="50"/>
  <c r="R11" i="50"/>
  <c r="Q11" i="50"/>
  <c r="P11" i="50"/>
  <c r="O11" i="50"/>
  <c r="N11" i="50"/>
  <c r="M11" i="50"/>
  <c r="L11" i="50"/>
  <c r="K11" i="50"/>
  <c r="J11" i="50"/>
  <c r="I11" i="50"/>
  <c r="H11" i="50"/>
  <c r="G11" i="50"/>
  <c r="F11" i="50"/>
  <c r="E11" i="50"/>
  <c r="D11" i="50"/>
  <c r="W10" i="50"/>
  <c r="U10" i="50"/>
  <c r="T10" i="50"/>
  <c r="S10" i="50"/>
  <c r="R10" i="50"/>
  <c r="Q10" i="50"/>
  <c r="P10" i="50"/>
  <c r="O10" i="50"/>
  <c r="M10" i="50"/>
  <c r="L10" i="50"/>
  <c r="K10" i="50"/>
  <c r="F10" i="50"/>
  <c r="D10" i="50"/>
  <c r="A10" i="50"/>
  <c r="S9" i="50"/>
  <c r="M9" i="50"/>
  <c r="F9" i="50"/>
  <c r="A9" i="50"/>
  <c r="W8" i="50"/>
  <c r="U8" i="50"/>
  <c r="T8" i="50"/>
  <c r="S8" i="50"/>
  <c r="P8" i="50"/>
  <c r="O8" i="50"/>
  <c r="M8" i="50"/>
  <c r="L8" i="50"/>
  <c r="K8" i="50"/>
  <c r="F8" i="50"/>
  <c r="A8" i="50"/>
  <c r="U130" i="49"/>
  <c r="U129" i="49"/>
  <c r="R124" i="49"/>
  <c r="R120" i="49"/>
  <c r="Q120" i="49"/>
  <c r="R119" i="49"/>
  <c r="Q119" i="49"/>
  <c r="Q121" i="49" s="1"/>
  <c r="R117" i="49"/>
  <c r="R113" i="49"/>
  <c r="R112" i="49"/>
  <c r="R111" i="49"/>
  <c r="R109" i="49"/>
  <c r="S109" i="49" s="1"/>
  <c r="Q107" i="49"/>
  <c r="P105" i="49"/>
  <c r="M105" i="49"/>
  <c r="L105" i="49"/>
  <c r="Y103" i="49"/>
  <c r="X103" i="49"/>
  <c r="W103" i="49"/>
  <c r="V103" i="49"/>
  <c r="U103" i="49"/>
  <c r="T103" i="49"/>
  <c r="S103" i="49"/>
  <c r="R103" i="49"/>
  <c r="Q103" i="49"/>
  <c r="P103" i="49"/>
  <c r="O103" i="49"/>
  <c r="N103" i="49"/>
  <c r="M103" i="49"/>
  <c r="L103" i="49"/>
  <c r="K103" i="49"/>
  <c r="J103" i="49"/>
  <c r="I103" i="49"/>
  <c r="H103" i="49"/>
  <c r="G103" i="49"/>
  <c r="F103" i="49"/>
  <c r="E103" i="49"/>
  <c r="D103" i="49"/>
  <c r="A103" i="49"/>
  <c r="Y100" i="49"/>
  <c r="X100" i="49"/>
  <c r="W100" i="49"/>
  <c r="V100" i="49"/>
  <c r="U100" i="49"/>
  <c r="T100" i="49"/>
  <c r="S100" i="49"/>
  <c r="R100" i="49"/>
  <c r="Q100" i="49"/>
  <c r="P100" i="49"/>
  <c r="O100" i="49"/>
  <c r="N100" i="49"/>
  <c r="M100" i="49"/>
  <c r="L100" i="49"/>
  <c r="K100" i="49"/>
  <c r="J100" i="49"/>
  <c r="I100" i="49"/>
  <c r="H100" i="49"/>
  <c r="G100" i="49"/>
  <c r="F100" i="49"/>
  <c r="E100" i="49"/>
  <c r="D100" i="49"/>
  <c r="W99" i="49"/>
  <c r="U99" i="49"/>
  <c r="T99" i="49"/>
  <c r="S99" i="49"/>
  <c r="P99" i="49"/>
  <c r="O99" i="49"/>
  <c r="M99" i="49"/>
  <c r="L99" i="49"/>
  <c r="K99" i="49"/>
  <c r="F99" i="49"/>
  <c r="A99" i="49"/>
  <c r="W98" i="49"/>
  <c r="U98" i="49"/>
  <c r="T98" i="49"/>
  <c r="S98" i="49"/>
  <c r="P98" i="49"/>
  <c r="O98" i="49"/>
  <c r="M98" i="49"/>
  <c r="L98" i="49"/>
  <c r="K98" i="49"/>
  <c r="F98" i="49"/>
  <c r="D98" i="49"/>
  <c r="A98" i="49"/>
  <c r="W97" i="49"/>
  <c r="U97" i="49"/>
  <c r="T97" i="49"/>
  <c r="S97" i="49"/>
  <c r="P97" i="49"/>
  <c r="O97" i="49"/>
  <c r="M97" i="49"/>
  <c r="L97" i="49"/>
  <c r="K97" i="49"/>
  <c r="F97" i="49"/>
  <c r="A97" i="49"/>
  <c r="W96" i="49"/>
  <c r="U96" i="49"/>
  <c r="T96" i="49"/>
  <c r="S96" i="49"/>
  <c r="P96" i="49"/>
  <c r="O96" i="49"/>
  <c r="N96" i="49"/>
  <c r="M96" i="49"/>
  <c r="L96" i="49"/>
  <c r="K96" i="49"/>
  <c r="F96" i="49"/>
  <c r="A96" i="49"/>
  <c r="Y93" i="49"/>
  <c r="X93" i="49"/>
  <c r="W93" i="49"/>
  <c r="V93" i="49"/>
  <c r="U93" i="49"/>
  <c r="T93" i="49"/>
  <c r="S93" i="49"/>
  <c r="R93" i="49"/>
  <c r="Q93" i="49"/>
  <c r="P93" i="49"/>
  <c r="O93" i="49"/>
  <c r="N93" i="49"/>
  <c r="M93" i="49"/>
  <c r="L93" i="49"/>
  <c r="K93" i="49"/>
  <c r="J93" i="49"/>
  <c r="I93" i="49"/>
  <c r="H93" i="49"/>
  <c r="G93" i="49"/>
  <c r="F93" i="49"/>
  <c r="E93" i="49"/>
  <c r="D93" i="49"/>
  <c r="W92" i="49"/>
  <c r="U92" i="49"/>
  <c r="T92" i="49"/>
  <c r="S92" i="49"/>
  <c r="P92" i="49"/>
  <c r="O92" i="49"/>
  <c r="M92" i="49"/>
  <c r="L92" i="49"/>
  <c r="K92" i="49"/>
  <c r="F92" i="49"/>
  <c r="A92" i="49"/>
  <c r="W91" i="49"/>
  <c r="U91" i="49"/>
  <c r="T91" i="49"/>
  <c r="S91" i="49"/>
  <c r="P91" i="49"/>
  <c r="O91" i="49"/>
  <c r="M91" i="49"/>
  <c r="L91" i="49"/>
  <c r="K91" i="49"/>
  <c r="F91" i="49"/>
  <c r="A91" i="49"/>
  <c r="W90" i="49"/>
  <c r="U90" i="49"/>
  <c r="T90" i="49"/>
  <c r="S90" i="49"/>
  <c r="P90" i="49"/>
  <c r="O90" i="49"/>
  <c r="M90" i="49"/>
  <c r="L90" i="49"/>
  <c r="K90" i="49"/>
  <c r="F90" i="49"/>
  <c r="A90" i="49"/>
  <c r="W89" i="49"/>
  <c r="U89" i="49"/>
  <c r="T89" i="49"/>
  <c r="S89" i="49"/>
  <c r="P89" i="49"/>
  <c r="O89" i="49"/>
  <c r="M89" i="49"/>
  <c r="L89" i="49"/>
  <c r="K89" i="49"/>
  <c r="F89" i="49"/>
  <c r="D89" i="49"/>
  <c r="A89" i="49"/>
  <c r="W88" i="49"/>
  <c r="U88" i="49"/>
  <c r="T88" i="49"/>
  <c r="S88" i="49"/>
  <c r="P88" i="49"/>
  <c r="O88" i="49"/>
  <c r="M88" i="49"/>
  <c r="L88" i="49"/>
  <c r="K88" i="49"/>
  <c r="F88" i="49"/>
  <c r="A88" i="49"/>
  <c r="Y86" i="49"/>
  <c r="X86" i="49"/>
  <c r="W86" i="49"/>
  <c r="V86" i="49"/>
  <c r="U86" i="49"/>
  <c r="T86" i="49"/>
  <c r="S86" i="49"/>
  <c r="R86" i="49"/>
  <c r="Q86" i="49"/>
  <c r="P86" i="49"/>
  <c r="O86" i="49"/>
  <c r="N86" i="49"/>
  <c r="M86" i="49"/>
  <c r="L86" i="49"/>
  <c r="K86" i="49"/>
  <c r="J86" i="49"/>
  <c r="I86" i="49"/>
  <c r="H86" i="49"/>
  <c r="G86" i="49"/>
  <c r="F86" i="49"/>
  <c r="E86" i="49"/>
  <c r="D86" i="49"/>
  <c r="W85" i="49"/>
  <c r="U85" i="49"/>
  <c r="T85" i="49"/>
  <c r="S85" i="49"/>
  <c r="P85" i="49"/>
  <c r="O85" i="49"/>
  <c r="M85" i="49"/>
  <c r="L85" i="49"/>
  <c r="K85" i="49"/>
  <c r="F85" i="49"/>
  <c r="D85" i="49"/>
  <c r="A85" i="49"/>
  <c r="W84" i="49"/>
  <c r="U84" i="49"/>
  <c r="T84" i="49"/>
  <c r="S84" i="49"/>
  <c r="R84" i="49"/>
  <c r="P84" i="49"/>
  <c r="O84" i="49"/>
  <c r="M84" i="49"/>
  <c r="L84" i="49"/>
  <c r="K84" i="49"/>
  <c r="F84" i="49"/>
  <c r="A84" i="49"/>
  <c r="W83" i="49"/>
  <c r="U83" i="49"/>
  <c r="T83" i="49"/>
  <c r="S83" i="49"/>
  <c r="P83" i="49"/>
  <c r="O83" i="49"/>
  <c r="M83" i="49"/>
  <c r="L83" i="49"/>
  <c r="K83" i="49"/>
  <c r="F83" i="49"/>
  <c r="A83" i="49"/>
  <c r="W82" i="49"/>
  <c r="U82" i="49"/>
  <c r="T82" i="49"/>
  <c r="S82" i="49"/>
  <c r="P82" i="49"/>
  <c r="O82" i="49"/>
  <c r="M82" i="49"/>
  <c r="L82" i="49"/>
  <c r="K82" i="49"/>
  <c r="F82" i="49"/>
  <c r="A82" i="49"/>
  <c r="W81" i="49"/>
  <c r="U81" i="49"/>
  <c r="T81" i="49"/>
  <c r="S81" i="49"/>
  <c r="P81" i="49"/>
  <c r="O81" i="49"/>
  <c r="N81" i="49"/>
  <c r="M81" i="49"/>
  <c r="L81" i="49"/>
  <c r="K81" i="49"/>
  <c r="F81" i="49"/>
  <c r="D81" i="49"/>
  <c r="A81" i="49"/>
  <c r="Y79" i="49"/>
  <c r="X79" i="49"/>
  <c r="W79" i="49"/>
  <c r="V79" i="49"/>
  <c r="U79" i="49"/>
  <c r="T79" i="49"/>
  <c r="S79" i="49"/>
  <c r="R79" i="49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W78" i="49"/>
  <c r="U78" i="49"/>
  <c r="T78" i="49"/>
  <c r="S78" i="49"/>
  <c r="P78" i="49"/>
  <c r="O78" i="49"/>
  <c r="M78" i="49"/>
  <c r="L78" i="49"/>
  <c r="K78" i="49"/>
  <c r="F78" i="49"/>
  <c r="A78" i="49"/>
  <c r="Y75" i="49"/>
  <c r="X75" i="49"/>
  <c r="W75" i="49"/>
  <c r="V75" i="49"/>
  <c r="U75" i="49"/>
  <c r="T75" i="49"/>
  <c r="S75" i="49"/>
  <c r="R75" i="49"/>
  <c r="Q75" i="49"/>
  <c r="P75" i="49"/>
  <c r="O75" i="49"/>
  <c r="N75" i="49"/>
  <c r="M75" i="49"/>
  <c r="L75" i="49"/>
  <c r="K75" i="49"/>
  <c r="J75" i="49"/>
  <c r="I75" i="49"/>
  <c r="H75" i="49"/>
  <c r="G75" i="49"/>
  <c r="F75" i="49"/>
  <c r="E75" i="49"/>
  <c r="D75" i="49"/>
  <c r="W74" i="49"/>
  <c r="U74" i="49"/>
  <c r="T74" i="49"/>
  <c r="S74" i="49"/>
  <c r="P74" i="49"/>
  <c r="O74" i="49"/>
  <c r="N74" i="49"/>
  <c r="M74" i="49"/>
  <c r="L74" i="49"/>
  <c r="K74" i="49"/>
  <c r="F74" i="49"/>
  <c r="A74" i="49"/>
  <c r="W73" i="49"/>
  <c r="U73" i="49"/>
  <c r="T73" i="49"/>
  <c r="S73" i="49"/>
  <c r="R73" i="49"/>
  <c r="P73" i="49"/>
  <c r="O73" i="49"/>
  <c r="M73" i="49"/>
  <c r="L73" i="49"/>
  <c r="K73" i="49"/>
  <c r="F73" i="49"/>
  <c r="A73" i="49"/>
  <c r="W72" i="49"/>
  <c r="U72" i="49"/>
  <c r="T72" i="49"/>
  <c r="S72" i="49"/>
  <c r="P72" i="49"/>
  <c r="O72" i="49"/>
  <c r="M72" i="49"/>
  <c r="L72" i="49"/>
  <c r="K72" i="49"/>
  <c r="F72" i="49"/>
  <c r="A72" i="49"/>
  <c r="W71" i="49"/>
  <c r="U71" i="49"/>
  <c r="T71" i="49"/>
  <c r="S71" i="49"/>
  <c r="P71" i="49"/>
  <c r="O71" i="49"/>
  <c r="M71" i="49"/>
  <c r="L71" i="49"/>
  <c r="K71" i="49"/>
  <c r="F71" i="49"/>
  <c r="D71" i="49"/>
  <c r="A71" i="49"/>
  <c r="W70" i="49"/>
  <c r="U70" i="49"/>
  <c r="T70" i="49"/>
  <c r="S70" i="49"/>
  <c r="P70" i="49"/>
  <c r="O70" i="49"/>
  <c r="M70" i="49"/>
  <c r="L70" i="49"/>
  <c r="K70" i="49"/>
  <c r="F70" i="49"/>
  <c r="D70" i="49"/>
  <c r="A70" i="49"/>
  <c r="W69" i="49"/>
  <c r="U69" i="49"/>
  <c r="T69" i="49"/>
  <c r="S69" i="49"/>
  <c r="P69" i="49"/>
  <c r="O69" i="49"/>
  <c r="M69" i="49"/>
  <c r="L69" i="49"/>
  <c r="K69" i="49"/>
  <c r="F69" i="49"/>
  <c r="A69" i="49"/>
  <c r="W68" i="49"/>
  <c r="U68" i="49"/>
  <c r="T68" i="49"/>
  <c r="S68" i="49"/>
  <c r="P68" i="49"/>
  <c r="O68" i="49"/>
  <c r="M68" i="49"/>
  <c r="L68" i="49"/>
  <c r="K68" i="49"/>
  <c r="F68" i="49"/>
  <c r="D68" i="49"/>
  <c r="A68" i="49"/>
  <c r="W67" i="49"/>
  <c r="U67" i="49"/>
  <c r="T67" i="49"/>
  <c r="S67" i="49"/>
  <c r="P67" i="49"/>
  <c r="O67" i="49"/>
  <c r="N67" i="49"/>
  <c r="M67" i="49"/>
  <c r="L67" i="49"/>
  <c r="K67" i="49"/>
  <c r="F67" i="49"/>
  <c r="D67" i="49"/>
  <c r="A67" i="49"/>
  <c r="W66" i="49"/>
  <c r="U66" i="49"/>
  <c r="T66" i="49"/>
  <c r="S66" i="49"/>
  <c r="P66" i="49"/>
  <c r="O66" i="49"/>
  <c r="N66" i="49"/>
  <c r="M66" i="49"/>
  <c r="L66" i="49"/>
  <c r="K66" i="49"/>
  <c r="F66" i="49"/>
  <c r="A66" i="49"/>
  <c r="W65" i="49"/>
  <c r="U65" i="49"/>
  <c r="T65" i="49"/>
  <c r="S65" i="49"/>
  <c r="P65" i="49"/>
  <c r="O65" i="49"/>
  <c r="N65" i="49"/>
  <c r="M65" i="49"/>
  <c r="L65" i="49"/>
  <c r="K65" i="49"/>
  <c r="F65" i="49"/>
  <c r="A65" i="49"/>
  <c r="W64" i="49"/>
  <c r="U64" i="49"/>
  <c r="T64" i="49"/>
  <c r="S64" i="49"/>
  <c r="P64" i="49"/>
  <c r="O64" i="49"/>
  <c r="M64" i="49"/>
  <c r="L64" i="49"/>
  <c r="K64" i="49"/>
  <c r="F64" i="49"/>
  <c r="A64" i="49"/>
  <c r="W63" i="49"/>
  <c r="U63" i="49"/>
  <c r="T63" i="49"/>
  <c r="S63" i="49"/>
  <c r="P63" i="49"/>
  <c r="O63" i="49"/>
  <c r="M63" i="49"/>
  <c r="L63" i="49"/>
  <c r="K63" i="49"/>
  <c r="F63" i="49"/>
  <c r="A63" i="49"/>
  <c r="W62" i="49"/>
  <c r="U62" i="49"/>
  <c r="T62" i="49"/>
  <c r="S62" i="49"/>
  <c r="R62" i="49"/>
  <c r="P62" i="49"/>
  <c r="O62" i="49"/>
  <c r="M62" i="49"/>
  <c r="L62" i="49"/>
  <c r="K62" i="49"/>
  <c r="F62" i="49"/>
  <c r="A62" i="49"/>
  <c r="W61" i="49"/>
  <c r="U61" i="49"/>
  <c r="T61" i="49"/>
  <c r="S61" i="49"/>
  <c r="P61" i="49"/>
  <c r="O61" i="49"/>
  <c r="M61" i="49"/>
  <c r="L61" i="49"/>
  <c r="K61" i="49"/>
  <c r="F61" i="49"/>
  <c r="A61" i="49"/>
  <c r="W60" i="49"/>
  <c r="U60" i="49"/>
  <c r="T60" i="49"/>
  <c r="S60" i="49"/>
  <c r="P60" i="49"/>
  <c r="O60" i="49"/>
  <c r="M60" i="49"/>
  <c r="L60" i="49"/>
  <c r="K60" i="49"/>
  <c r="F60" i="49"/>
  <c r="A60" i="49"/>
  <c r="W59" i="49"/>
  <c r="U59" i="49"/>
  <c r="T59" i="49"/>
  <c r="S59" i="49"/>
  <c r="P59" i="49"/>
  <c r="O59" i="49"/>
  <c r="M59" i="49"/>
  <c r="L59" i="49"/>
  <c r="K59" i="49"/>
  <c r="G59" i="49"/>
  <c r="F59" i="49"/>
  <c r="A59" i="49"/>
  <c r="W58" i="49"/>
  <c r="U58" i="49"/>
  <c r="T58" i="49"/>
  <c r="S58" i="49"/>
  <c r="P58" i="49"/>
  <c r="O58" i="49"/>
  <c r="M58" i="49"/>
  <c r="L58" i="49"/>
  <c r="K58" i="49"/>
  <c r="F58" i="49"/>
  <c r="A58" i="49"/>
  <c r="W57" i="49"/>
  <c r="U57" i="49"/>
  <c r="T57" i="49"/>
  <c r="S57" i="49"/>
  <c r="P57" i="49"/>
  <c r="O57" i="49"/>
  <c r="M57" i="49"/>
  <c r="L57" i="49"/>
  <c r="K57" i="49"/>
  <c r="F57" i="49"/>
  <c r="A57" i="49"/>
  <c r="W56" i="49"/>
  <c r="U56" i="49"/>
  <c r="T56" i="49"/>
  <c r="S56" i="49"/>
  <c r="P56" i="49"/>
  <c r="O56" i="49"/>
  <c r="M56" i="49"/>
  <c r="L56" i="49"/>
  <c r="K56" i="49"/>
  <c r="F56" i="49"/>
  <c r="D56" i="49"/>
  <c r="A56" i="49"/>
  <c r="W55" i="49"/>
  <c r="U55" i="49"/>
  <c r="T55" i="49"/>
  <c r="S55" i="49"/>
  <c r="P55" i="49"/>
  <c r="O55" i="49"/>
  <c r="M55" i="49"/>
  <c r="L55" i="49"/>
  <c r="K55" i="49"/>
  <c r="G55" i="49"/>
  <c r="A55" i="49"/>
  <c r="W54" i="49"/>
  <c r="U54" i="49"/>
  <c r="T54" i="49"/>
  <c r="S54" i="49"/>
  <c r="P54" i="49"/>
  <c r="O54" i="49"/>
  <c r="N54" i="49"/>
  <c r="M54" i="49"/>
  <c r="L54" i="49"/>
  <c r="K54" i="49"/>
  <c r="F54" i="49"/>
  <c r="A54" i="49"/>
  <c r="W53" i="49"/>
  <c r="U53" i="49"/>
  <c r="T53" i="49"/>
  <c r="S53" i="49"/>
  <c r="P53" i="49"/>
  <c r="O53" i="49"/>
  <c r="M53" i="49"/>
  <c r="L53" i="49"/>
  <c r="K53" i="49"/>
  <c r="F53" i="49"/>
  <c r="D53" i="49"/>
  <c r="A53" i="49"/>
  <c r="W52" i="49"/>
  <c r="U52" i="49"/>
  <c r="T52" i="49"/>
  <c r="S52" i="49"/>
  <c r="P52" i="49"/>
  <c r="O52" i="49"/>
  <c r="M52" i="49"/>
  <c r="L52" i="49"/>
  <c r="K52" i="49"/>
  <c r="F52" i="49"/>
  <c r="D52" i="49"/>
  <c r="A52" i="49"/>
  <c r="W51" i="49"/>
  <c r="U51" i="49"/>
  <c r="T51" i="49"/>
  <c r="S51" i="49"/>
  <c r="P51" i="49"/>
  <c r="O51" i="49"/>
  <c r="M51" i="49"/>
  <c r="L51" i="49"/>
  <c r="K51" i="49"/>
  <c r="J51" i="49"/>
  <c r="I51" i="49"/>
  <c r="F51" i="49"/>
  <c r="A51" i="49"/>
  <c r="W50" i="49"/>
  <c r="V50" i="49"/>
  <c r="U50" i="49"/>
  <c r="T50" i="49"/>
  <c r="S50" i="49"/>
  <c r="P50" i="49"/>
  <c r="O50" i="49"/>
  <c r="N50" i="49"/>
  <c r="M50" i="49"/>
  <c r="L50" i="49"/>
  <c r="K50" i="49"/>
  <c r="F50" i="49"/>
  <c r="A50" i="49"/>
  <c r="W49" i="49"/>
  <c r="U49" i="49"/>
  <c r="T49" i="49"/>
  <c r="S49" i="49"/>
  <c r="P49" i="49"/>
  <c r="O49" i="49"/>
  <c r="M49" i="49"/>
  <c r="L49" i="49"/>
  <c r="K49" i="49"/>
  <c r="F49" i="49"/>
  <c r="A49" i="49"/>
  <c r="W48" i="49"/>
  <c r="U48" i="49"/>
  <c r="T48" i="49"/>
  <c r="S48" i="49"/>
  <c r="P48" i="49"/>
  <c r="O48" i="49"/>
  <c r="M48" i="49"/>
  <c r="L48" i="49"/>
  <c r="K48" i="49"/>
  <c r="F48" i="49"/>
  <c r="D48" i="49"/>
  <c r="A48" i="49"/>
  <c r="W47" i="49"/>
  <c r="U47" i="49"/>
  <c r="T47" i="49"/>
  <c r="S47" i="49"/>
  <c r="P47" i="49"/>
  <c r="O47" i="49"/>
  <c r="M47" i="49"/>
  <c r="L47" i="49"/>
  <c r="K47" i="49"/>
  <c r="G47" i="49"/>
  <c r="F47" i="49"/>
  <c r="A47" i="49"/>
  <c r="W46" i="49"/>
  <c r="U46" i="49"/>
  <c r="T46" i="49"/>
  <c r="S46" i="49"/>
  <c r="P46" i="49"/>
  <c r="O46" i="49"/>
  <c r="M46" i="49"/>
  <c r="L46" i="49"/>
  <c r="K46" i="49"/>
  <c r="F46" i="49"/>
  <c r="D46" i="49"/>
  <c r="A46" i="49"/>
  <c r="W45" i="49"/>
  <c r="U45" i="49"/>
  <c r="T45" i="49"/>
  <c r="S45" i="49"/>
  <c r="P45" i="49"/>
  <c r="O45" i="49"/>
  <c r="M45" i="49"/>
  <c r="L45" i="49"/>
  <c r="K45" i="49"/>
  <c r="F45" i="49"/>
  <c r="A45" i="49"/>
  <c r="W44" i="49"/>
  <c r="U44" i="49"/>
  <c r="T44" i="49"/>
  <c r="S44" i="49"/>
  <c r="R44" i="49"/>
  <c r="P44" i="49"/>
  <c r="O44" i="49"/>
  <c r="M44" i="49"/>
  <c r="L44" i="49"/>
  <c r="K44" i="49"/>
  <c r="G44" i="49"/>
  <c r="F44" i="49"/>
  <c r="D44" i="49"/>
  <c r="A44" i="49"/>
  <c r="W43" i="49"/>
  <c r="U43" i="49"/>
  <c r="T43" i="49"/>
  <c r="S43" i="49"/>
  <c r="P43" i="49"/>
  <c r="O43" i="49"/>
  <c r="M43" i="49"/>
  <c r="L43" i="49"/>
  <c r="K43" i="49"/>
  <c r="F43" i="49"/>
  <c r="D43" i="49"/>
  <c r="A43" i="49"/>
  <c r="W42" i="49"/>
  <c r="U42" i="49"/>
  <c r="T42" i="49"/>
  <c r="S42" i="49"/>
  <c r="P42" i="49"/>
  <c r="O42" i="49"/>
  <c r="M42" i="49"/>
  <c r="L42" i="49"/>
  <c r="K42" i="49"/>
  <c r="F42" i="49"/>
  <c r="D42" i="49"/>
  <c r="A42" i="49"/>
  <c r="W41" i="49"/>
  <c r="U41" i="49"/>
  <c r="T41" i="49"/>
  <c r="S41" i="49"/>
  <c r="P41" i="49"/>
  <c r="O41" i="49"/>
  <c r="M41" i="49"/>
  <c r="L41" i="49"/>
  <c r="K41" i="49"/>
  <c r="F41" i="49"/>
  <c r="D41" i="49"/>
  <c r="A41" i="49"/>
  <c r="W40" i="49"/>
  <c r="U40" i="49"/>
  <c r="T40" i="49"/>
  <c r="S40" i="49"/>
  <c r="P40" i="49"/>
  <c r="O40" i="49"/>
  <c r="M40" i="49"/>
  <c r="L40" i="49"/>
  <c r="K40" i="49"/>
  <c r="F40" i="49"/>
  <c r="A40" i="49"/>
  <c r="W39" i="49"/>
  <c r="U39" i="49"/>
  <c r="T39" i="49"/>
  <c r="S39" i="49"/>
  <c r="P39" i="49"/>
  <c r="O39" i="49"/>
  <c r="M39" i="49"/>
  <c r="L39" i="49"/>
  <c r="K39" i="49"/>
  <c r="F39" i="49"/>
  <c r="A39" i="49"/>
  <c r="W38" i="49"/>
  <c r="U38" i="49"/>
  <c r="T38" i="49"/>
  <c r="S38" i="49"/>
  <c r="P38" i="49"/>
  <c r="O38" i="49"/>
  <c r="M38" i="49"/>
  <c r="L38" i="49"/>
  <c r="K38" i="49"/>
  <c r="F38" i="49"/>
  <c r="A38" i="49"/>
  <c r="W37" i="49"/>
  <c r="U37" i="49"/>
  <c r="T37" i="49"/>
  <c r="S37" i="49"/>
  <c r="P37" i="49"/>
  <c r="O37" i="49"/>
  <c r="M37" i="49"/>
  <c r="L37" i="49"/>
  <c r="K37" i="49"/>
  <c r="F37" i="49"/>
  <c r="D37" i="49"/>
  <c r="A37" i="49"/>
  <c r="W36" i="49"/>
  <c r="U36" i="49"/>
  <c r="T36" i="49"/>
  <c r="S36" i="49"/>
  <c r="P36" i="49"/>
  <c r="O36" i="49"/>
  <c r="N36" i="49"/>
  <c r="M36" i="49"/>
  <c r="L36" i="49"/>
  <c r="K36" i="49"/>
  <c r="F36" i="49"/>
  <c r="A36" i="49"/>
  <c r="W35" i="49"/>
  <c r="U35" i="49"/>
  <c r="T35" i="49"/>
  <c r="S35" i="49"/>
  <c r="P35" i="49"/>
  <c r="O35" i="49"/>
  <c r="M35" i="49"/>
  <c r="L35" i="49"/>
  <c r="K35" i="49"/>
  <c r="F35" i="49"/>
  <c r="D35" i="49"/>
  <c r="A35" i="49"/>
  <c r="W34" i="49"/>
  <c r="U34" i="49"/>
  <c r="T34" i="49"/>
  <c r="S34" i="49"/>
  <c r="P34" i="49"/>
  <c r="O34" i="49"/>
  <c r="M34" i="49"/>
  <c r="L34" i="49"/>
  <c r="K34" i="49"/>
  <c r="F34" i="49"/>
  <c r="D34" i="49"/>
  <c r="A34" i="49"/>
  <c r="W33" i="49"/>
  <c r="U33" i="49"/>
  <c r="T33" i="49"/>
  <c r="P33" i="49"/>
  <c r="O33" i="49"/>
  <c r="M33" i="49"/>
  <c r="L33" i="49"/>
  <c r="K33" i="49"/>
  <c r="F33" i="49"/>
  <c r="D33" i="49"/>
  <c r="A33" i="49"/>
  <c r="W32" i="49"/>
  <c r="U32" i="49"/>
  <c r="T32" i="49"/>
  <c r="S32" i="49"/>
  <c r="P32" i="49"/>
  <c r="O32" i="49"/>
  <c r="M32" i="49"/>
  <c r="L32" i="49"/>
  <c r="K32" i="49"/>
  <c r="F32" i="49"/>
  <c r="D32" i="49"/>
  <c r="A32" i="49"/>
  <c r="W31" i="49"/>
  <c r="U31" i="49"/>
  <c r="T31" i="49"/>
  <c r="S31" i="49"/>
  <c r="P31" i="49"/>
  <c r="O31" i="49"/>
  <c r="M31" i="49"/>
  <c r="L31" i="49"/>
  <c r="K31" i="49"/>
  <c r="F31" i="49"/>
  <c r="D31" i="49"/>
  <c r="A31" i="49"/>
  <c r="W30" i="49"/>
  <c r="U30" i="49"/>
  <c r="T30" i="49"/>
  <c r="S30" i="49"/>
  <c r="P30" i="49"/>
  <c r="O30" i="49"/>
  <c r="M30" i="49"/>
  <c r="L30" i="49"/>
  <c r="K30" i="49"/>
  <c r="F30" i="49"/>
  <c r="A30" i="49"/>
  <c r="W29" i="49"/>
  <c r="U29" i="49"/>
  <c r="T29" i="49"/>
  <c r="S29" i="49"/>
  <c r="P29" i="49"/>
  <c r="O29" i="49"/>
  <c r="M29" i="49"/>
  <c r="L29" i="49"/>
  <c r="K29" i="49"/>
  <c r="J29" i="49"/>
  <c r="I29" i="49"/>
  <c r="F29" i="49"/>
  <c r="D29" i="49"/>
  <c r="A29" i="49"/>
  <c r="Y26" i="49"/>
  <c r="X26" i="49"/>
  <c r="W26" i="49"/>
  <c r="V26" i="49"/>
  <c r="U26" i="49"/>
  <c r="T26" i="49"/>
  <c r="S26" i="49"/>
  <c r="R26" i="49"/>
  <c r="Q26" i="49"/>
  <c r="P26" i="49"/>
  <c r="O26" i="49"/>
  <c r="N26" i="49"/>
  <c r="M26" i="49"/>
  <c r="L26" i="49"/>
  <c r="K26" i="49"/>
  <c r="J26" i="49"/>
  <c r="I26" i="49"/>
  <c r="H26" i="49"/>
  <c r="G26" i="49"/>
  <c r="F26" i="49"/>
  <c r="E26" i="49"/>
  <c r="D26" i="49"/>
  <c r="W25" i="49"/>
  <c r="U25" i="49"/>
  <c r="T25" i="49"/>
  <c r="S25" i="49"/>
  <c r="Q25" i="49"/>
  <c r="P25" i="49"/>
  <c r="O25" i="49"/>
  <c r="N25" i="49"/>
  <c r="M25" i="49"/>
  <c r="L25" i="49"/>
  <c r="K25" i="49"/>
  <c r="F25" i="49"/>
  <c r="A25" i="49"/>
  <c r="W24" i="49"/>
  <c r="U24" i="49"/>
  <c r="T24" i="49"/>
  <c r="S24" i="49"/>
  <c r="P24" i="49"/>
  <c r="O24" i="49"/>
  <c r="M24" i="49"/>
  <c r="L24" i="49"/>
  <c r="K24" i="49"/>
  <c r="F24" i="49"/>
  <c r="D24" i="49"/>
  <c r="A24" i="49"/>
  <c r="W23" i="49"/>
  <c r="U23" i="49"/>
  <c r="T23" i="49"/>
  <c r="S23" i="49"/>
  <c r="P23" i="49"/>
  <c r="O23" i="49"/>
  <c r="M23" i="49"/>
  <c r="L23" i="49"/>
  <c r="K23" i="49"/>
  <c r="F23" i="49"/>
  <c r="A23" i="49"/>
  <c r="W22" i="49"/>
  <c r="U22" i="49"/>
  <c r="T22" i="49"/>
  <c r="S22" i="49"/>
  <c r="P22" i="49"/>
  <c r="O22" i="49"/>
  <c r="N22" i="49"/>
  <c r="M22" i="49"/>
  <c r="L22" i="49"/>
  <c r="K22" i="49"/>
  <c r="F22" i="49"/>
  <c r="D22" i="49"/>
  <c r="A22" i="49"/>
  <c r="W21" i="49"/>
  <c r="U21" i="49"/>
  <c r="T21" i="49"/>
  <c r="S21" i="49"/>
  <c r="P21" i="49"/>
  <c r="O21" i="49"/>
  <c r="N21" i="49"/>
  <c r="M21" i="49"/>
  <c r="L21" i="49"/>
  <c r="K21" i="49"/>
  <c r="F21" i="49"/>
  <c r="A21" i="49"/>
  <c r="W20" i="49"/>
  <c r="U20" i="49"/>
  <c r="T20" i="49"/>
  <c r="P20" i="49"/>
  <c r="O20" i="49"/>
  <c r="N20" i="49"/>
  <c r="M20" i="49"/>
  <c r="L20" i="49"/>
  <c r="K20" i="49"/>
  <c r="F20" i="49"/>
  <c r="A20" i="49"/>
  <c r="W19" i="49"/>
  <c r="U19" i="49"/>
  <c r="T19" i="49"/>
  <c r="S19" i="49"/>
  <c r="P19" i="49"/>
  <c r="O19" i="49"/>
  <c r="M19" i="49"/>
  <c r="L19" i="49"/>
  <c r="K19" i="49"/>
  <c r="F19" i="49"/>
  <c r="A19" i="49"/>
  <c r="W18" i="49"/>
  <c r="U18" i="49"/>
  <c r="T18" i="49"/>
  <c r="S18" i="49"/>
  <c r="P18" i="49"/>
  <c r="O18" i="49"/>
  <c r="M18" i="49"/>
  <c r="L18" i="49"/>
  <c r="K18" i="49"/>
  <c r="F18" i="49"/>
  <c r="A18" i="49"/>
  <c r="W17" i="49"/>
  <c r="U17" i="49"/>
  <c r="T17" i="49"/>
  <c r="S17" i="49"/>
  <c r="Q17" i="49"/>
  <c r="P17" i="49"/>
  <c r="O17" i="49"/>
  <c r="M17" i="49"/>
  <c r="L17" i="49"/>
  <c r="K17" i="49"/>
  <c r="G17" i="49"/>
  <c r="F17" i="49"/>
  <c r="D17" i="49"/>
  <c r="A17" i="49"/>
  <c r="W16" i="49"/>
  <c r="U16" i="49"/>
  <c r="T16" i="49"/>
  <c r="S16" i="49"/>
  <c r="P16" i="49"/>
  <c r="O16" i="49"/>
  <c r="M16" i="49"/>
  <c r="L16" i="49"/>
  <c r="K16" i="49"/>
  <c r="F16" i="49"/>
  <c r="A16" i="49"/>
  <c r="W15" i="49"/>
  <c r="U15" i="49"/>
  <c r="T15" i="49"/>
  <c r="S15" i="49"/>
  <c r="P15" i="49"/>
  <c r="O15" i="49"/>
  <c r="M15" i="49"/>
  <c r="L15" i="49"/>
  <c r="K15" i="49"/>
  <c r="F15" i="49"/>
  <c r="D15" i="49"/>
  <c r="A15" i="49"/>
  <c r="W14" i="49"/>
  <c r="U14" i="49"/>
  <c r="T14" i="49"/>
  <c r="S14" i="49"/>
  <c r="P14" i="49"/>
  <c r="O14" i="49"/>
  <c r="M14" i="49"/>
  <c r="L14" i="49"/>
  <c r="K14" i="49"/>
  <c r="F14" i="49"/>
  <c r="D14" i="49"/>
  <c r="A14" i="49"/>
  <c r="Y12" i="49"/>
  <c r="X12" i="49"/>
  <c r="W12" i="49"/>
  <c r="V12" i="49"/>
  <c r="U12" i="49"/>
  <c r="T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W11" i="49"/>
  <c r="U11" i="49"/>
  <c r="T11" i="49"/>
  <c r="S11" i="49"/>
  <c r="P11" i="49"/>
  <c r="O11" i="49"/>
  <c r="M11" i="49"/>
  <c r="L11" i="49"/>
  <c r="K11" i="49"/>
  <c r="F11" i="49"/>
  <c r="A11" i="49"/>
  <c r="Y9" i="49"/>
  <c r="X9" i="49"/>
  <c r="W9" i="49"/>
  <c r="V9" i="49"/>
  <c r="U9" i="49"/>
  <c r="T9" i="49"/>
  <c r="S9" i="49"/>
  <c r="R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W8" i="49"/>
  <c r="U8" i="49"/>
  <c r="T8" i="49"/>
  <c r="S8" i="49"/>
  <c r="P8" i="49"/>
  <c r="O8" i="49"/>
  <c r="M8" i="49"/>
  <c r="L8" i="49"/>
  <c r="K8" i="49"/>
  <c r="F8" i="49"/>
  <c r="A8" i="49"/>
  <c r="W7" i="49"/>
  <c r="U7" i="49"/>
  <c r="T7" i="49"/>
  <c r="S7" i="49"/>
  <c r="P7" i="49"/>
  <c r="O7" i="49"/>
  <c r="M7" i="49"/>
  <c r="L7" i="49"/>
  <c r="K7" i="49"/>
  <c r="F7" i="49"/>
  <c r="A7" i="49"/>
  <c r="J1" i="49"/>
  <c r="R160" i="48"/>
  <c r="Q156" i="48"/>
  <c r="Q154" i="48"/>
  <c r="Q153" i="48"/>
  <c r="R149" i="48"/>
  <c r="S149" i="48" s="1"/>
  <c r="R148" i="48"/>
  <c r="R143" i="48"/>
  <c r="R142" i="48"/>
  <c r="R140" i="48"/>
  <c r="Q140" i="48"/>
  <c r="AC139" i="48"/>
  <c r="Q139" i="48"/>
  <c r="P139" i="48"/>
  <c r="AC137" i="48"/>
  <c r="AB135" i="48"/>
  <c r="AB133" i="48"/>
  <c r="X132" i="48"/>
  <c r="Q132" i="48"/>
  <c r="P132" i="48"/>
  <c r="AB131" i="48"/>
  <c r="Q131" i="48"/>
  <c r="X130" i="48"/>
  <c r="Q129" i="48"/>
  <c r="P129" i="48"/>
  <c r="P140" i="48" s="1"/>
  <c r="U127" i="48"/>
  <c r="T127" i="48"/>
  <c r="P127" i="48"/>
  <c r="M127" i="48"/>
  <c r="L127" i="48"/>
  <c r="AH126" i="48"/>
  <c r="AH123" i="48"/>
  <c r="AH122" i="48"/>
  <c r="AG122" i="48"/>
  <c r="Y122" i="48"/>
  <c r="X122" i="48"/>
  <c r="W122" i="48"/>
  <c r="V122" i="48"/>
  <c r="U122" i="48"/>
  <c r="T122" i="48"/>
  <c r="S122" i="48"/>
  <c r="R122" i="48"/>
  <c r="Q122" i="48"/>
  <c r="P122" i="48"/>
  <c r="O122" i="48"/>
  <c r="N122" i="48"/>
  <c r="M122" i="48"/>
  <c r="L122" i="48"/>
  <c r="K122" i="48"/>
  <c r="J122" i="48"/>
  <c r="I122" i="48"/>
  <c r="H122" i="48"/>
  <c r="G122" i="48"/>
  <c r="F122" i="48"/>
  <c r="E122" i="48"/>
  <c r="D122" i="48"/>
  <c r="A122" i="48"/>
  <c r="AH121" i="48"/>
  <c r="Y120" i="48"/>
  <c r="X120" i="48"/>
  <c r="W120" i="48"/>
  <c r="V120" i="48"/>
  <c r="U120" i="48"/>
  <c r="T120" i="48"/>
  <c r="S120" i="48"/>
  <c r="R120" i="48"/>
  <c r="Q120" i="48"/>
  <c r="P120" i="48"/>
  <c r="O120" i="48"/>
  <c r="N120" i="48"/>
  <c r="M120" i="48"/>
  <c r="L120" i="48"/>
  <c r="K120" i="48"/>
  <c r="J120" i="48"/>
  <c r="I120" i="48"/>
  <c r="H120" i="48"/>
  <c r="G120" i="48"/>
  <c r="F120" i="48"/>
  <c r="E120" i="48"/>
  <c r="D120" i="48"/>
  <c r="AH119" i="48"/>
  <c r="V119" i="48"/>
  <c r="U119" i="48"/>
  <c r="T119" i="48"/>
  <c r="S119" i="48"/>
  <c r="P119" i="48"/>
  <c r="O119" i="48"/>
  <c r="M119" i="48"/>
  <c r="L119" i="48"/>
  <c r="K119" i="48"/>
  <c r="F119" i="48"/>
  <c r="A119" i="48"/>
  <c r="AH118" i="48"/>
  <c r="V118" i="48"/>
  <c r="U118" i="48"/>
  <c r="T118" i="48"/>
  <c r="S118" i="48"/>
  <c r="P118" i="48"/>
  <c r="O118" i="48"/>
  <c r="M118" i="48"/>
  <c r="L118" i="48"/>
  <c r="K118" i="48"/>
  <c r="F118" i="48"/>
  <c r="A118" i="48"/>
  <c r="AH117" i="48"/>
  <c r="V117" i="48"/>
  <c r="U117" i="48"/>
  <c r="T117" i="48"/>
  <c r="S117" i="48"/>
  <c r="P117" i="48"/>
  <c r="O117" i="48"/>
  <c r="M117" i="48"/>
  <c r="L117" i="48"/>
  <c r="K117" i="48"/>
  <c r="G117" i="48"/>
  <c r="F117" i="48"/>
  <c r="D117" i="48"/>
  <c r="A117" i="48"/>
  <c r="AH116" i="48"/>
  <c r="V116" i="48"/>
  <c r="U116" i="48"/>
  <c r="T116" i="48"/>
  <c r="S116" i="48"/>
  <c r="P116" i="48"/>
  <c r="O116" i="48"/>
  <c r="N116" i="48"/>
  <c r="M116" i="48"/>
  <c r="L116" i="48"/>
  <c r="K116" i="48"/>
  <c r="F116" i="48"/>
  <c r="D116" i="48"/>
  <c r="A116" i="48"/>
  <c r="Y113" i="48"/>
  <c r="X113" i="48"/>
  <c r="W113" i="48"/>
  <c r="V113" i="48"/>
  <c r="U113" i="48"/>
  <c r="T113" i="48"/>
  <c r="S113" i="48"/>
  <c r="R113" i="48"/>
  <c r="Q113" i="48"/>
  <c r="P113" i="48"/>
  <c r="O113" i="48"/>
  <c r="N113" i="48"/>
  <c r="M113" i="48"/>
  <c r="L113" i="48"/>
  <c r="K113" i="48"/>
  <c r="J113" i="48"/>
  <c r="I113" i="48"/>
  <c r="H113" i="48"/>
  <c r="G113" i="48"/>
  <c r="F113" i="48"/>
  <c r="E113" i="48"/>
  <c r="D113" i="48"/>
  <c r="AH112" i="48"/>
  <c r="V112" i="48"/>
  <c r="U112" i="48"/>
  <c r="T112" i="48"/>
  <c r="S112" i="48"/>
  <c r="P112" i="48"/>
  <c r="O112" i="48"/>
  <c r="N112" i="48"/>
  <c r="M112" i="48"/>
  <c r="L112" i="48"/>
  <c r="K112" i="48"/>
  <c r="F112" i="48"/>
  <c r="A112" i="48"/>
  <c r="AH111" i="48"/>
  <c r="V111" i="48"/>
  <c r="U111" i="48"/>
  <c r="T111" i="48"/>
  <c r="S111" i="48"/>
  <c r="P111" i="48"/>
  <c r="O111" i="48"/>
  <c r="N111" i="48"/>
  <c r="M111" i="48"/>
  <c r="L111" i="48"/>
  <c r="K111" i="48"/>
  <c r="F111" i="48"/>
  <c r="A111" i="48"/>
  <c r="AH110" i="48"/>
  <c r="V110" i="48"/>
  <c r="U110" i="48"/>
  <c r="T110" i="48"/>
  <c r="S110" i="48"/>
  <c r="P110" i="48"/>
  <c r="O110" i="48"/>
  <c r="M110" i="48"/>
  <c r="L110" i="48"/>
  <c r="K110" i="48"/>
  <c r="F110" i="48"/>
  <c r="A110" i="48"/>
  <c r="Y107" i="48"/>
  <c r="X107" i="48"/>
  <c r="W107" i="48"/>
  <c r="V107" i="48"/>
  <c r="U107" i="48"/>
  <c r="T107" i="48"/>
  <c r="S107" i="48"/>
  <c r="R107" i="48"/>
  <c r="Q107" i="48"/>
  <c r="P107" i="48"/>
  <c r="O107" i="48"/>
  <c r="N107" i="48"/>
  <c r="M107" i="48"/>
  <c r="L107" i="48"/>
  <c r="K107" i="48"/>
  <c r="J107" i="48"/>
  <c r="I107" i="48"/>
  <c r="H107" i="48"/>
  <c r="G107" i="48"/>
  <c r="F107" i="48"/>
  <c r="E107" i="48"/>
  <c r="D107" i="48"/>
  <c r="AH106" i="48"/>
  <c r="V106" i="48"/>
  <c r="U106" i="48"/>
  <c r="T106" i="48"/>
  <c r="S106" i="48"/>
  <c r="P106" i="48"/>
  <c r="O106" i="48"/>
  <c r="M106" i="48"/>
  <c r="L106" i="48"/>
  <c r="K106" i="48"/>
  <c r="F106" i="48"/>
  <c r="A106" i="48"/>
  <c r="AH105" i="48"/>
  <c r="V105" i="48"/>
  <c r="U105" i="48"/>
  <c r="T105" i="48"/>
  <c r="S105" i="48"/>
  <c r="R105" i="48"/>
  <c r="P105" i="48"/>
  <c r="O105" i="48"/>
  <c r="M105" i="48"/>
  <c r="L105" i="48"/>
  <c r="K105" i="48"/>
  <c r="G105" i="48"/>
  <c r="F105" i="48"/>
  <c r="A105" i="48"/>
  <c r="AH104" i="48"/>
  <c r="V104" i="48"/>
  <c r="U104" i="48"/>
  <c r="T104" i="48"/>
  <c r="S104" i="48"/>
  <c r="P104" i="48"/>
  <c r="O104" i="48"/>
  <c r="N104" i="48"/>
  <c r="M104" i="48"/>
  <c r="L104" i="48"/>
  <c r="K104" i="48"/>
  <c r="F104" i="48"/>
  <c r="A104" i="48"/>
  <c r="AH103" i="48"/>
  <c r="V103" i="48"/>
  <c r="U103" i="48"/>
  <c r="O103" i="48"/>
  <c r="F103" i="48"/>
  <c r="A103" i="48"/>
  <c r="AH102" i="48"/>
  <c r="V102" i="48"/>
  <c r="U102" i="48"/>
  <c r="T102" i="48"/>
  <c r="S102" i="48"/>
  <c r="P102" i="48"/>
  <c r="O102" i="48"/>
  <c r="M102" i="48"/>
  <c r="L102" i="48"/>
  <c r="K102" i="48"/>
  <c r="F102" i="48"/>
  <c r="A102" i="48"/>
  <c r="AH101" i="48"/>
  <c r="V101" i="48"/>
  <c r="U101" i="48"/>
  <c r="T101" i="48"/>
  <c r="S101" i="48"/>
  <c r="P101" i="48"/>
  <c r="O101" i="48"/>
  <c r="N101" i="48"/>
  <c r="M101" i="48"/>
  <c r="L101" i="48"/>
  <c r="K101" i="48"/>
  <c r="F101" i="48"/>
  <c r="E101" i="48"/>
  <c r="D101" i="48"/>
  <c r="A101" i="48"/>
  <c r="AH100" i="48"/>
  <c r="V100" i="48"/>
  <c r="U100" i="48"/>
  <c r="T100" i="48"/>
  <c r="S100" i="48"/>
  <c r="P100" i="48"/>
  <c r="O100" i="48"/>
  <c r="N100" i="48"/>
  <c r="M100" i="48"/>
  <c r="L100" i="48"/>
  <c r="K100" i="48"/>
  <c r="F100" i="48"/>
  <c r="A100" i="48"/>
  <c r="AH99" i="48"/>
  <c r="V99" i="48"/>
  <c r="U99" i="48"/>
  <c r="T99" i="48"/>
  <c r="S99" i="48"/>
  <c r="P99" i="48"/>
  <c r="O99" i="48"/>
  <c r="M99" i="48"/>
  <c r="L99" i="48"/>
  <c r="K99" i="48"/>
  <c r="F99" i="48"/>
  <c r="A99" i="48"/>
  <c r="AH98" i="48"/>
  <c r="V98" i="48"/>
  <c r="U98" i="48"/>
  <c r="T98" i="48"/>
  <c r="S98" i="48"/>
  <c r="Q98" i="48"/>
  <c r="P98" i="48"/>
  <c r="O98" i="48"/>
  <c r="M98" i="48"/>
  <c r="L98" i="48"/>
  <c r="K98" i="48"/>
  <c r="G98" i="48"/>
  <c r="F98" i="48"/>
  <c r="A98" i="48"/>
  <c r="AH97" i="48"/>
  <c r="V97" i="48"/>
  <c r="U97" i="48"/>
  <c r="T97" i="48"/>
  <c r="S97" i="48"/>
  <c r="P97" i="48"/>
  <c r="O97" i="48"/>
  <c r="M97" i="48"/>
  <c r="L97" i="48"/>
  <c r="K97" i="48"/>
  <c r="F97" i="48"/>
  <c r="A97" i="48"/>
  <c r="AH96" i="48"/>
  <c r="V96" i="48"/>
  <c r="U96" i="48"/>
  <c r="T96" i="48"/>
  <c r="S96" i="48"/>
  <c r="P96" i="48"/>
  <c r="O96" i="48"/>
  <c r="M96" i="48"/>
  <c r="L96" i="48"/>
  <c r="K96" i="48"/>
  <c r="F96" i="48"/>
  <c r="A96" i="48"/>
  <c r="AH95" i="48"/>
  <c r="V95" i="48"/>
  <c r="U95" i="48"/>
  <c r="T95" i="48"/>
  <c r="S95" i="48"/>
  <c r="P95" i="48"/>
  <c r="O95" i="48"/>
  <c r="M95" i="48"/>
  <c r="L95" i="48"/>
  <c r="K95" i="48"/>
  <c r="F95" i="48"/>
  <c r="D95" i="48"/>
  <c r="A95" i="48"/>
  <c r="AH94" i="48"/>
  <c r="V94" i="48"/>
  <c r="U94" i="48"/>
  <c r="T94" i="48"/>
  <c r="S94" i="48"/>
  <c r="P94" i="48"/>
  <c r="O94" i="48"/>
  <c r="M94" i="48"/>
  <c r="L94" i="48"/>
  <c r="K94" i="48"/>
  <c r="F94" i="48"/>
  <c r="A94" i="48"/>
  <c r="AH93" i="48"/>
  <c r="V93" i="48"/>
  <c r="U93" i="48"/>
  <c r="T93" i="48"/>
  <c r="S93" i="48"/>
  <c r="P93" i="48"/>
  <c r="O93" i="48"/>
  <c r="N93" i="48"/>
  <c r="M93" i="48"/>
  <c r="L93" i="48"/>
  <c r="K93" i="48"/>
  <c r="F93" i="48"/>
  <c r="A93" i="48"/>
  <c r="AH92" i="48"/>
  <c r="V92" i="48"/>
  <c r="U92" i="48"/>
  <c r="T92" i="48"/>
  <c r="S92" i="48"/>
  <c r="P92" i="48"/>
  <c r="O92" i="48"/>
  <c r="M92" i="48"/>
  <c r="L92" i="48"/>
  <c r="K92" i="48"/>
  <c r="F92" i="48"/>
  <c r="D92" i="48"/>
  <c r="A92" i="48"/>
  <c r="AH91" i="48"/>
  <c r="V91" i="48"/>
  <c r="U91" i="48"/>
  <c r="T91" i="48"/>
  <c r="S91" i="48"/>
  <c r="P91" i="48"/>
  <c r="O91" i="48"/>
  <c r="M91" i="48"/>
  <c r="L91" i="48"/>
  <c r="K91" i="48"/>
  <c r="F91" i="48"/>
  <c r="A91" i="48"/>
  <c r="AH90" i="48"/>
  <c r="V90" i="48"/>
  <c r="U90" i="48"/>
  <c r="T90" i="48"/>
  <c r="S90" i="48"/>
  <c r="P90" i="48"/>
  <c r="O90" i="48"/>
  <c r="N90" i="48"/>
  <c r="M90" i="48"/>
  <c r="L90" i="48"/>
  <c r="K90" i="48"/>
  <c r="F90" i="48"/>
  <c r="A90" i="48"/>
  <c r="AH89" i="48"/>
  <c r="V89" i="48"/>
  <c r="U89" i="48"/>
  <c r="T89" i="48"/>
  <c r="S89" i="48"/>
  <c r="P89" i="48"/>
  <c r="O89" i="48"/>
  <c r="N89" i="48"/>
  <c r="M89" i="48"/>
  <c r="L89" i="48"/>
  <c r="K89" i="48"/>
  <c r="F89" i="48"/>
  <c r="A89" i="48"/>
  <c r="AH88" i="48"/>
  <c r="V88" i="48"/>
  <c r="U88" i="48"/>
  <c r="T88" i="48"/>
  <c r="S88" i="48"/>
  <c r="P88" i="48"/>
  <c r="O88" i="48"/>
  <c r="M88" i="48"/>
  <c r="L88" i="48"/>
  <c r="K88" i="48"/>
  <c r="F88" i="48"/>
  <c r="A88" i="48"/>
  <c r="AH87" i="48"/>
  <c r="V87" i="48"/>
  <c r="U87" i="48"/>
  <c r="T87" i="48"/>
  <c r="S87" i="48"/>
  <c r="P87" i="48"/>
  <c r="O87" i="48"/>
  <c r="M87" i="48"/>
  <c r="L87" i="48"/>
  <c r="K87" i="48"/>
  <c r="F87" i="48"/>
  <c r="A87" i="48"/>
  <c r="AH86" i="48"/>
  <c r="V86" i="48"/>
  <c r="U86" i="48"/>
  <c r="O86" i="48"/>
  <c r="F86" i="48"/>
  <c r="A86" i="48"/>
  <c r="AH85" i="48"/>
  <c r="V85" i="48"/>
  <c r="U85" i="48"/>
  <c r="O85" i="48"/>
  <c r="F85" i="48"/>
  <c r="A85" i="48"/>
  <c r="AH84" i="48"/>
  <c r="V84" i="48"/>
  <c r="U84" i="48"/>
  <c r="O84" i="48"/>
  <c r="N84" i="48"/>
  <c r="F84" i="48"/>
  <c r="A84" i="48"/>
  <c r="AH83" i="48"/>
  <c r="V83" i="48"/>
  <c r="U83" i="48"/>
  <c r="T83" i="48"/>
  <c r="S83" i="48"/>
  <c r="O83" i="48"/>
  <c r="F83" i="48"/>
  <c r="A83" i="48"/>
  <c r="AH82" i="48"/>
  <c r="V82" i="48"/>
  <c r="U82" i="48"/>
  <c r="T82" i="48"/>
  <c r="S82" i="48"/>
  <c r="P82" i="48"/>
  <c r="O82" i="48"/>
  <c r="M82" i="48"/>
  <c r="L82" i="48"/>
  <c r="K82" i="48"/>
  <c r="F82" i="48"/>
  <c r="A82" i="48"/>
  <c r="AH81" i="48"/>
  <c r="V81" i="48"/>
  <c r="U81" i="48"/>
  <c r="T81" i="48"/>
  <c r="S81" i="48"/>
  <c r="P81" i="48"/>
  <c r="O81" i="48"/>
  <c r="N81" i="48"/>
  <c r="M81" i="48"/>
  <c r="F81" i="48"/>
  <c r="A81" i="48"/>
  <c r="AH80" i="48"/>
  <c r="V80" i="48"/>
  <c r="U80" i="48"/>
  <c r="T80" i="48"/>
  <c r="S80" i="48"/>
  <c r="P80" i="48"/>
  <c r="O80" i="48"/>
  <c r="M80" i="48"/>
  <c r="L80" i="48"/>
  <c r="K80" i="48"/>
  <c r="F80" i="48"/>
  <c r="A80" i="48"/>
  <c r="AH79" i="48"/>
  <c r="V79" i="48"/>
  <c r="U79" i="48"/>
  <c r="T79" i="48"/>
  <c r="S79" i="48"/>
  <c r="P79" i="48"/>
  <c r="O79" i="48"/>
  <c r="M79" i="48"/>
  <c r="L79" i="48"/>
  <c r="K79" i="48"/>
  <c r="F79" i="48"/>
  <c r="A79" i="48"/>
  <c r="AH78" i="48"/>
  <c r="V78" i="48"/>
  <c r="U78" i="48"/>
  <c r="T78" i="48"/>
  <c r="S78" i="48"/>
  <c r="P78" i="48"/>
  <c r="O78" i="48"/>
  <c r="N78" i="48"/>
  <c r="M78" i="48"/>
  <c r="L78" i="48"/>
  <c r="K78" i="48"/>
  <c r="F78" i="48"/>
  <c r="A78" i="48"/>
  <c r="AH77" i="48"/>
  <c r="V77" i="48"/>
  <c r="U77" i="48"/>
  <c r="T77" i="48"/>
  <c r="S77" i="48"/>
  <c r="P77" i="48"/>
  <c r="O77" i="48"/>
  <c r="N77" i="48"/>
  <c r="M77" i="48"/>
  <c r="L77" i="48"/>
  <c r="K77" i="48"/>
  <c r="F77" i="48"/>
  <c r="A77" i="48"/>
  <c r="AH76" i="48"/>
  <c r="Y76" i="48"/>
  <c r="V76" i="48"/>
  <c r="U76" i="48"/>
  <c r="T76" i="48"/>
  <c r="S76" i="48"/>
  <c r="P76" i="48"/>
  <c r="O76" i="48"/>
  <c r="N76" i="48"/>
  <c r="M76" i="48"/>
  <c r="L76" i="48"/>
  <c r="K76" i="48"/>
  <c r="F76" i="48"/>
  <c r="A76" i="48"/>
  <c r="AH75" i="48"/>
  <c r="V75" i="48"/>
  <c r="U75" i="48"/>
  <c r="T75" i="48"/>
  <c r="S75" i="48"/>
  <c r="P75" i="48"/>
  <c r="O75" i="48"/>
  <c r="N75" i="48"/>
  <c r="M75" i="48"/>
  <c r="L75" i="48"/>
  <c r="K75" i="48"/>
  <c r="F75" i="48"/>
  <c r="A75" i="48"/>
  <c r="AH74" i="48"/>
  <c r="V74" i="48"/>
  <c r="U74" i="48"/>
  <c r="T74" i="48"/>
  <c r="S74" i="48"/>
  <c r="P74" i="48"/>
  <c r="O74" i="48"/>
  <c r="N74" i="48"/>
  <c r="M74" i="48"/>
  <c r="L74" i="48"/>
  <c r="K74" i="48"/>
  <c r="F74" i="48"/>
  <c r="A74" i="48"/>
  <c r="AH73" i="48"/>
  <c r="V73" i="48"/>
  <c r="U73" i="48"/>
  <c r="O73" i="48"/>
  <c r="N73" i="48"/>
  <c r="F73" i="48"/>
  <c r="A73" i="48"/>
  <c r="AH72" i="48"/>
  <c r="V72" i="48"/>
  <c r="U72" i="48"/>
  <c r="T72" i="48"/>
  <c r="S72" i="48"/>
  <c r="R72" i="48"/>
  <c r="P72" i="48"/>
  <c r="O72" i="48"/>
  <c r="M72" i="48"/>
  <c r="L72" i="48"/>
  <c r="K72" i="48"/>
  <c r="F72" i="48"/>
  <c r="D72" i="48"/>
  <c r="A72" i="48"/>
  <c r="AH71" i="48"/>
  <c r="V71" i="48"/>
  <c r="U71" i="48"/>
  <c r="T71" i="48"/>
  <c r="S71" i="48"/>
  <c r="P71" i="48"/>
  <c r="O71" i="48"/>
  <c r="M71" i="48"/>
  <c r="L71" i="48"/>
  <c r="K71" i="48"/>
  <c r="F71" i="48"/>
  <c r="A71" i="48"/>
  <c r="AH70" i="48"/>
  <c r="V70" i="48"/>
  <c r="U70" i="48"/>
  <c r="T70" i="48"/>
  <c r="S70" i="48"/>
  <c r="Q70" i="48"/>
  <c r="P70" i="48"/>
  <c r="O70" i="48"/>
  <c r="M70" i="48"/>
  <c r="L70" i="48"/>
  <c r="K70" i="48"/>
  <c r="G70" i="48"/>
  <c r="F70" i="48"/>
  <c r="E70" i="48"/>
  <c r="D70" i="48"/>
  <c r="A70" i="48"/>
  <c r="AH69" i="48"/>
  <c r="V69" i="48"/>
  <c r="U69" i="48"/>
  <c r="T69" i="48"/>
  <c r="S69" i="48"/>
  <c r="P69" i="48"/>
  <c r="O69" i="48"/>
  <c r="N69" i="48"/>
  <c r="M69" i="48"/>
  <c r="L69" i="48"/>
  <c r="K69" i="48"/>
  <c r="F69" i="48"/>
  <c r="D69" i="48"/>
  <c r="A69" i="48"/>
  <c r="AH68" i="48"/>
  <c r="V68" i="48"/>
  <c r="U68" i="48"/>
  <c r="T68" i="48"/>
  <c r="S68" i="48"/>
  <c r="Q68" i="48"/>
  <c r="P68" i="48"/>
  <c r="O68" i="48"/>
  <c r="N68" i="48"/>
  <c r="M68" i="48"/>
  <c r="L68" i="48"/>
  <c r="K68" i="48"/>
  <c r="G68" i="48"/>
  <c r="F68" i="48"/>
  <c r="A68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M66" i="48"/>
  <c r="L66" i="48"/>
  <c r="K66" i="48"/>
  <c r="J66" i="48"/>
  <c r="I66" i="48"/>
  <c r="H66" i="48"/>
  <c r="G66" i="48"/>
  <c r="F66" i="48"/>
  <c r="E66" i="48"/>
  <c r="D66" i="48"/>
  <c r="AH65" i="48"/>
  <c r="V65" i="48"/>
  <c r="U65" i="48"/>
  <c r="T65" i="48"/>
  <c r="S65" i="48"/>
  <c r="P65" i="48"/>
  <c r="O65" i="48"/>
  <c r="M65" i="48"/>
  <c r="L65" i="48"/>
  <c r="K65" i="48"/>
  <c r="F65" i="48"/>
  <c r="D65" i="48"/>
  <c r="A65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M63" i="48"/>
  <c r="L63" i="48"/>
  <c r="K63" i="48"/>
  <c r="J63" i="48"/>
  <c r="I63" i="48"/>
  <c r="H63" i="48"/>
  <c r="G63" i="48"/>
  <c r="F63" i="48"/>
  <c r="E63" i="48"/>
  <c r="D63" i="48"/>
  <c r="AH62" i="48"/>
  <c r="V62" i="48"/>
  <c r="U62" i="48"/>
  <c r="T62" i="48"/>
  <c r="S62" i="48"/>
  <c r="P62" i="48"/>
  <c r="O62" i="48"/>
  <c r="M62" i="48"/>
  <c r="L62" i="48"/>
  <c r="K62" i="48"/>
  <c r="F62" i="48"/>
  <c r="A62" i="48"/>
  <c r="AH61" i="48"/>
  <c r="V61" i="48"/>
  <c r="U61" i="48"/>
  <c r="T61" i="48"/>
  <c r="S61" i="48"/>
  <c r="P61" i="48"/>
  <c r="O61" i="48"/>
  <c r="M61" i="48"/>
  <c r="L61" i="48"/>
  <c r="K61" i="48"/>
  <c r="F61" i="48"/>
  <c r="A61" i="48"/>
  <c r="AH60" i="48"/>
  <c r="V60" i="48"/>
  <c r="U60" i="48"/>
  <c r="T60" i="48"/>
  <c r="S60" i="48"/>
  <c r="P60" i="48"/>
  <c r="O60" i="48"/>
  <c r="N60" i="48"/>
  <c r="M60" i="48"/>
  <c r="L60" i="48"/>
  <c r="K60" i="48"/>
  <c r="F60" i="48"/>
  <c r="A60" i="48"/>
  <c r="AH59" i="48"/>
  <c r="V59" i="48"/>
  <c r="U59" i="48"/>
  <c r="T59" i="48"/>
  <c r="S59" i="48"/>
  <c r="P59" i="48"/>
  <c r="O59" i="48"/>
  <c r="M59" i="48"/>
  <c r="L59" i="48"/>
  <c r="K59" i="48"/>
  <c r="F59" i="48"/>
  <c r="A59" i="48"/>
  <c r="AH58" i="48"/>
  <c r="Y58" i="48"/>
  <c r="V58" i="48"/>
  <c r="U58" i="48"/>
  <c r="O58" i="48"/>
  <c r="F58" i="48"/>
  <c r="A58" i="48"/>
  <c r="AH57" i="48"/>
  <c r="V57" i="48"/>
  <c r="U57" i="48"/>
  <c r="O57" i="48"/>
  <c r="F57" i="48"/>
  <c r="A57" i="48"/>
  <c r="AH56" i="48"/>
  <c r="V56" i="48"/>
  <c r="U56" i="48"/>
  <c r="O56" i="48"/>
  <c r="F56" i="48"/>
  <c r="A56" i="48"/>
  <c r="AH55" i="48"/>
  <c r="V55" i="48"/>
  <c r="U55" i="48"/>
  <c r="T55" i="48"/>
  <c r="S55" i="48"/>
  <c r="P55" i="48"/>
  <c r="O55" i="48"/>
  <c r="N55" i="48"/>
  <c r="M55" i="48"/>
  <c r="L55" i="48"/>
  <c r="K55" i="48"/>
  <c r="F55" i="48"/>
  <c r="A55" i="48"/>
  <c r="AH54" i="48"/>
  <c r="V54" i="48"/>
  <c r="U54" i="48"/>
  <c r="O54" i="48"/>
  <c r="N54" i="48"/>
  <c r="F54" i="48"/>
  <c r="A54" i="48"/>
  <c r="AH53" i="48"/>
  <c r="V53" i="48"/>
  <c r="U53" i="48"/>
  <c r="O53" i="48"/>
  <c r="F53" i="48"/>
  <c r="A53" i="48"/>
  <c r="AH52" i="48"/>
  <c r="V52" i="48"/>
  <c r="U52" i="48"/>
  <c r="O52" i="48"/>
  <c r="N52" i="48"/>
  <c r="F52" i="48"/>
  <c r="A52" i="48"/>
  <c r="AH51" i="48"/>
  <c r="V51" i="48"/>
  <c r="U51" i="48"/>
  <c r="P51" i="48"/>
  <c r="O51" i="48"/>
  <c r="N51" i="48"/>
  <c r="M51" i="48"/>
  <c r="F51" i="48"/>
  <c r="A51" i="48"/>
  <c r="AH50" i="48"/>
  <c r="V50" i="48"/>
  <c r="U50" i="48"/>
  <c r="T50" i="48"/>
  <c r="S50" i="48"/>
  <c r="R50" i="48"/>
  <c r="P50" i="48"/>
  <c r="O50" i="48"/>
  <c r="M50" i="48"/>
  <c r="L50" i="48"/>
  <c r="K50" i="48"/>
  <c r="F50" i="48"/>
  <c r="A50" i="48"/>
  <c r="AH49" i="48"/>
  <c r="V49" i="48"/>
  <c r="U49" i="48"/>
  <c r="T49" i="48"/>
  <c r="S49" i="48"/>
  <c r="P49" i="48"/>
  <c r="O49" i="48"/>
  <c r="M49" i="48"/>
  <c r="L49" i="48"/>
  <c r="K49" i="48"/>
  <c r="F49" i="48"/>
  <c r="A49" i="48"/>
  <c r="AH48" i="48"/>
  <c r="V48" i="48"/>
  <c r="U48" i="48"/>
  <c r="T48" i="48"/>
  <c r="S48" i="48"/>
  <c r="P48" i="48"/>
  <c r="O48" i="48"/>
  <c r="N48" i="48"/>
  <c r="M48" i="48"/>
  <c r="L48" i="48"/>
  <c r="K48" i="48"/>
  <c r="F48" i="48"/>
  <c r="A48" i="48"/>
  <c r="AH47" i="48"/>
  <c r="V47" i="48"/>
  <c r="U47" i="48"/>
  <c r="T47" i="48"/>
  <c r="S47" i="48"/>
  <c r="P47" i="48"/>
  <c r="O47" i="48"/>
  <c r="M47" i="48"/>
  <c r="L47" i="48"/>
  <c r="K47" i="48"/>
  <c r="F47" i="48"/>
  <c r="A47" i="48"/>
  <c r="AH46" i="48"/>
  <c r="V46" i="48"/>
  <c r="U46" i="48"/>
  <c r="T46" i="48"/>
  <c r="S46" i="48"/>
  <c r="P46" i="48"/>
  <c r="O46" i="48"/>
  <c r="M46" i="48"/>
  <c r="L46" i="48"/>
  <c r="K46" i="48"/>
  <c r="F46" i="48"/>
  <c r="A46" i="48"/>
  <c r="AH45" i="48"/>
  <c r="V45" i="48"/>
  <c r="U45" i="48"/>
  <c r="T45" i="48"/>
  <c r="S45" i="48"/>
  <c r="P45" i="48"/>
  <c r="O45" i="48"/>
  <c r="M45" i="48"/>
  <c r="L45" i="48"/>
  <c r="K45" i="48"/>
  <c r="F45" i="48"/>
  <c r="A45" i="48"/>
  <c r="AH44" i="48"/>
  <c r="V44" i="48"/>
  <c r="U44" i="48"/>
  <c r="T44" i="48"/>
  <c r="S44" i="48"/>
  <c r="P44" i="48"/>
  <c r="O44" i="48"/>
  <c r="M44" i="48"/>
  <c r="L44" i="48"/>
  <c r="K44" i="48"/>
  <c r="F44" i="48"/>
  <c r="A44" i="48"/>
  <c r="AH43" i="48"/>
  <c r="V43" i="48"/>
  <c r="U43" i="48"/>
  <c r="T43" i="48"/>
  <c r="S43" i="48"/>
  <c r="P43" i="48"/>
  <c r="O43" i="48"/>
  <c r="M43" i="48"/>
  <c r="L43" i="48"/>
  <c r="K43" i="48"/>
  <c r="F43" i="48"/>
  <c r="A43" i="48"/>
  <c r="AH42" i="48"/>
  <c r="V42" i="48"/>
  <c r="U42" i="48"/>
  <c r="T42" i="48"/>
  <c r="S42" i="48"/>
  <c r="R42" i="48"/>
  <c r="P42" i="48"/>
  <c r="O42" i="48"/>
  <c r="M42" i="48"/>
  <c r="L42" i="48"/>
  <c r="K42" i="48"/>
  <c r="F42" i="48"/>
  <c r="D42" i="48"/>
  <c r="A42" i="48"/>
  <c r="AH41" i="48"/>
  <c r="V41" i="48"/>
  <c r="U41" i="48"/>
  <c r="T41" i="48"/>
  <c r="S41" i="48"/>
  <c r="P41" i="48"/>
  <c r="O41" i="48"/>
  <c r="M41" i="48"/>
  <c r="L41" i="48"/>
  <c r="K41" i="48"/>
  <c r="F41" i="48"/>
  <c r="A41" i="48"/>
  <c r="AH40" i="48"/>
  <c r="V40" i="48"/>
  <c r="U40" i="48"/>
  <c r="T40" i="48"/>
  <c r="S40" i="48"/>
  <c r="P40" i="48"/>
  <c r="O40" i="48"/>
  <c r="M40" i="48"/>
  <c r="L40" i="48"/>
  <c r="K40" i="48"/>
  <c r="F40" i="48"/>
  <c r="A40" i="48"/>
  <c r="AH39" i="48"/>
  <c r="V39" i="48"/>
  <c r="U39" i="48"/>
  <c r="T39" i="48"/>
  <c r="S39" i="48"/>
  <c r="P39" i="48"/>
  <c r="O39" i="48"/>
  <c r="M39" i="48"/>
  <c r="L39" i="48"/>
  <c r="K39" i="48"/>
  <c r="F39" i="48"/>
  <c r="A39" i="48"/>
  <c r="AH38" i="48"/>
  <c r="V38" i="48"/>
  <c r="U38" i="48"/>
  <c r="T38" i="48"/>
  <c r="S38" i="48"/>
  <c r="P38" i="48"/>
  <c r="O38" i="48"/>
  <c r="N38" i="48"/>
  <c r="M38" i="48"/>
  <c r="L38" i="48"/>
  <c r="K38" i="48"/>
  <c r="F38" i="48"/>
  <c r="A38" i="48"/>
  <c r="AH37" i="48"/>
  <c r="V37" i="48"/>
  <c r="U37" i="48"/>
  <c r="T37" i="48"/>
  <c r="S37" i="48"/>
  <c r="P37" i="48"/>
  <c r="O37" i="48"/>
  <c r="N37" i="48"/>
  <c r="M37" i="48"/>
  <c r="L37" i="48"/>
  <c r="K37" i="48"/>
  <c r="F37" i="48"/>
  <c r="A37" i="48"/>
  <c r="AH36" i="48"/>
  <c r="V36" i="48"/>
  <c r="U36" i="48"/>
  <c r="T36" i="48"/>
  <c r="S36" i="48"/>
  <c r="Q36" i="48"/>
  <c r="P36" i="48"/>
  <c r="O36" i="48"/>
  <c r="M36" i="48"/>
  <c r="L36" i="48"/>
  <c r="K36" i="48"/>
  <c r="G36" i="48"/>
  <c r="F36" i="48"/>
  <c r="A36" i="48"/>
  <c r="AH35" i="48"/>
  <c r="V35" i="48"/>
  <c r="U35" i="48"/>
  <c r="T35" i="48"/>
  <c r="S35" i="48"/>
  <c r="P35" i="48"/>
  <c r="O35" i="48"/>
  <c r="N35" i="48"/>
  <c r="M35" i="48"/>
  <c r="L35" i="48"/>
  <c r="K35" i="48"/>
  <c r="F35" i="48"/>
  <c r="A35" i="48"/>
  <c r="AH34" i="48"/>
  <c r="V34" i="48"/>
  <c r="U34" i="48"/>
  <c r="T34" i="48"/>
  <c r="S34" i="48"/>
  <c r="P34" i="48"/>
  <c r="O34" i="48"/>
  <c r="M34" i="48"/>
  <c r="L34" i="48"/>
  <c r="K34" i="48"/>
  <c r="F34" i="48"/>
  <c r="A34" i="48"/>
  <c r="AH33" i="48"/>
  <c r="V33" i="48"/>
  <c r="U33" i="48"/>
  <c r="T33" i="48"/>
  <c r="S33" i="48"/>
  <c r="P33" i="48"/>
  <c r="O33" i="48"/>
  <c r="N33" i="48"/>
  <c r="M33" i="48"/>
  <c r="L33" i="48"/>
  <c r="K33" i="48"/>
  <c r="F33" i="48"/>
  <c r="D33" i="48"/>
  <c r="A33" i="48"/>
  <c r="AH32" i="48"/>
  <c r="V32" i="48"/>
  <c r="U32" i="48"/>
  <c r="T32" i="48"/>
  <c r="S32" i="48"/>
  <c r="P32" i="48"/>
  <c r="O32" i="48"/>
  <c r="N32" i="48"/>
  <c r="M32" i="48"/>
  <c r="L32" i="48"/>
  <c r="K32" i="48"/>
  <c r="F32" i="48"/>
  <c r="D32" i="48"/>
  <c r="A32" i="48"/>
  <c r="AH31" i="48"/>
  <c r="V31" i="48"/>
  <c r="U31" i="48"/>
  <c r="T31" i="48"/>
  <c r="S31" i="48"/>
  <c r="P31" i="48"/>
  <c r="O31" i="48"/>
  <c r="M31" i="48"/>
  <c r="L31" i="48"/>
  <c r="K31" i="48"/>
  <c r="F31" i="48"/>
  <c r="A31" i="48"/>
  <c r="AH30" i="48"/>
  <c r="V30" i="48"/>
  <c r="U30" i="48"/>
  <c r="T30" i="48"/>
  <c r="S30" i="48"/>
  <c r="P30" i="48"/>
  <c r="O30" i="48"/>
  <c r="M30" i="48"/>
  <c r="L30" i="48"/>
  <c r="K30" i="48"/>
  <c r="F30" i="48"/>
  <c r="A30" i="48"/>
  <c r="AH29" i="48"/>
  <c r="V29" i="48"/>
  <c r="U29" i="48"/>
  <c r="T29" i="48"/>
  <c r="S29" i="48"/>
  <c r="P29" i="48"/>
  <c r="O29" i="48"/>
  <c r="N29" i="48"/>
  <c r="M29" i="48"/>
  <c r="L29" i="48"/>
  <c r="K29" i="48"/>
  <c r="F29" i="48"/>
  <c r="A29" i="48"/>
  <c r="AH28" i="48"/>
  <c r="V28" i="48"/>
  <c r="U28" i="48"/>
  <c r="T28" i="48"/>
  <c r="S28" i="48"/>
  <c r="Q28" i="48"/>
  <c r="P28" i="48"/>
  <c r="O28" i="48"/>
  <c r="M28" i="48"/>
  <c r="L28" i="48"/>
  <c r="K28" i="48"/>
  <c r="G28" i="48"/>
  <c r="F28" i="48"/>
  <c r="D28" i="48"/>
  <c r="A28" i="48"/>
  <c r="AH27" i="48"/>
  <c r="V27" i="48"/>
  <c r="U27" i="48"/>
  <c r="T27" i="48"/>
  <c r="S27" i="48"/>
  <c r="P27" i="48"/>
  <c r="O27" i="48"/>
  <c r="N27" i="48"/>
  <c r="M27" i="48"/>
  <c r="L27" i="48"/>
  <c r="K27" i="48"/>
  <c r="F27" i="48"/>
  <c r="A27" i="48"/>
  <c r="AH26" i="48"/>
  <c r="V26" i="48"/>
  <c r="U26" i="48"/>
  <c r="T26" i="48"/>
  <c r="S26" i="48"/>
  <c r="P26" i="48"/>
  <c r="O26" i="48"/>
  <c r="N26" i="48"/>
  <c r="M26" i="48"/>
  <c r="L26" i="48"/>
  <c r="K26" i="48"/>
  <c r="F26" i="48"/>
  <c r="A26" i="48"/>
  <c r="AH25" i="48"/>
  <c r="V25" i="48"/>
  <c r="U25" i="48"/>
  <c r="T25" i="48"/>
  <c r="S25" i="48"/>
  <c r="Q25" i="48"/>
  <c r="P25" i="48"/>
  <c r="O25" i="48"/>
  <c r="M25" i="48"/>
  <c r="L25" i="48"/>
  <c r="K25" i="48"/>
  <c r="G25" i="48"/>
  <c r="F25" i="48"/>
  <c r="D25" i="48"/>
  <c r="A25" i="48"/>
  <c r="AH24" i="48"/>
  <c r="V24" i="48"/>
  <c r="U24" i="48"/>
  <c r="T24" i="48"/>
  <c r="S24" i="48"/>
  <c r="Q24" i="48"/>
  <c r="P24" i="48"/>
  <c r="O24" i="48"/>
  <c r="M24" i="48"/>
  <c r="L24" i="48"/>
  <c r="K24" i="48"/>
  <c r="G24" i="48"/>
  <c r="F24" i="48"/>
  <c r="A24" i="48"/>
  <c r="AH23" i="48"/>
  <c r="V23" i="48"/>
  <c r="U23" i="48"/>
  <c r="T23" i="48"/>
  <c r="S23" i="48"/>
  <c r="P23" i="48"/>
  <c r="O23" i="48"/>
  <c r="N23" i="48"/>
  <c r="M23" i="48"/>
  <c r="L23" i="48"/>
  <c r="K23" i="48"/>
  <c r="F23" i="48"/>
  <c r="A23" i="48"/>
  <c r="AH22" i="48"/>
  <c r="V22" i="48"/>
  <c r="U22" i="48"/>
  <c r="T22" i="48"/>
  <c r="S22" i="48"/>
  <c r="P22" i="48"/>
  <c r="O22" i="48"/>
  <c r="M22" i="48"/>
  <c r="L22" i="48"/>
  <c r="K22" i="48"/>
  <c r="F22" i="48"/>
  <c r="D22" i="48"/>
  <c r="A22" i="48"/>
  <c r="AH21" i="48"/>
  <c r="V21" i="48"/>
  <c r="U21" i="48"/>
  <c r="T21" i="48"/>
  <c r="S21" i="48"/>
  <c r="P21" i="48"/>
  <c r="O21" i="48"/>
  <c r="M21" i="48"/>
  <c r="L21" i="48"/>
  <c r="K21" i="48"/>
  <c r="F21" i="48"/>
  <c r="A21" i="48"/>
  <c r="AH20" i="48"/>
  <c r="V20" i="48"/>
  <c r="U20" i="48"/>
  <c r="T20" i="48"/>
  <c r="S20" i="48"/>
  <c r="P20" i="48"/>
  <c r="O20" i="48"/>
  <c r="N20" i="48"/>
  <c r="M20" i="48"/>
  <c r="L20" i="48"/>
  <c r="K20" i="48"/>
  <c r="F20" i="48"/>
  <c r="D20" i="48"/>
  <c r="A20" i="48"/>
  <c r="Y18" i="48"/>
  <c r="X18" i="48"/>
  <c r="W18" i="48"/>
  <c r="V18" i="48"/>
  <c r="U18" i="48"/>
  <c r="T18" i="48"/>
  <c r="S18" i="48"/>
  <c r="R18" i="48"/>
  <c r="Q18" i="48"/>
  <c r="P18" i="48"/>
  <c r="O18" i="48"/>
  <c r="N18" i="48"/>
  <c r="M18" i="48"/>
  <c r="L18" i="48"/>
  <c r="K18" i="48"/>
  <c r="J18" i="48"/>
  <c r="I18" i="48"/>
  <c r="H18" i="48"/>
  <c r="G18" i="48"/>
  <c r="F18" i="48"/>
  <c r="E18" i="48"/>
  <c r="D18" i="48"/>
  <c r="AH17" i="48"/>
  <c r="V17" i="48"/>
  <c r="U17" i="48"/>
  <c r="T17" i="48"/>
  <c r="S17" i="48"/>
  <c r="P17" i="48"/>
  <c r="O17" i="48"/>
  <c r="M17" i="48"/>
  <c r="L17" i="48"/>
  <c r="K17" i="48"/>
  <c r="F17" i="48"/>
  <c r="A17" i="48"/>
  <c r="AH16" i="48"/>
  <c r="V16" i="48"/>
  <c r="U16" i="48"/>
  <c r="T16" i="48"/>
  <c r="S16" i="48"/>
  <c r="P16" i="48"/>
  <c r="O16" i="48"/>
  <c r="M16" i="48"/>
  <c r="L16" i="48"/>
  <c r="K16" i="48"/>
  <c r="F16" i="48"/>
  <c r="A16" i="48"/>
  <c r="AH15" i="48"/>
  <c r="V15" i="48"/>
  <c r="U15" i="48"/>
  <c r="T15" i="48"/>
  <c r="S15" i="48"/>
  <c r="P15" i="48"/>
  <c r="O15" i="48"/>
  <c r="M15" i="48"/>
  <c r="L15" i="48"/>
  <c r="K15" i="48"/>
  <c r="F15" i="48"/>
  <c r="A15" i="48"/>
  <c r="AH14" i="48"/>
  <c r="V14" i="48"/>
  <c r="U14" i="48"/>
  <c r="T14" i="48"/>
  <c r="S14" i="48"/>
  <c r="P14" i="48"/>
  <c r="O14" i="48"/>
  <c r="M14" i="48"/>
  <c r="L14" i="48"/>
  <c r="K14" i="48"/>
  <c r="F14" i="48"/>
  <c r="A14" i="48"/>
  <c r="AH13" i="48"/>
  <c r="V13" i="48"/>
  <c r="U13" i="48"/>
  <c r="T13" i="48"/>
  <c r="S13" i="48"/>
  <c r="P13" i="48"/>
  <c r="O13" i="48"/>
  <c r="N13" i="48"/>
  <c r="M13" i="48"/>
  <c r="L13" i="48"/>
  <c r="K13" i="48"/>
  <c r="F13" i="48"/>
  <c r="A13" i="48"/>
  <c r="AH12" i="48"/>
  <c r="V12" i="48"/>
  <c r="U12" i="48"/>
  <c r="T12" i="48"/>
  <c r="S12" i="48"/>
  <c r="P12" i="48"/>
  <c r="O12" i="48"/>
  <c r="N12" i="48"/>
  <c r="M12" i="48"/>
  <c r="L12" i="48"/>
  <c r="K12" i="48"/>
  <c r="F12" i="48"/>
  <c r="A12" i="48"/>
  <c r="AH11" i="48"/>
  <c r="V11" i="48"/>
  <c r="U11" i="48"/>
  <c r="T11" i="48"/>
  <c r="S11" i="48"/>
  <c r="P11" i="48"/>
  <c r="O11" i="48"/>
  <c r="M11" i="48"/>
  <c r="L11" i="48"/>
  <c r="K11" i="48"/>
  <c r="F11" i="48"/>
  <c r="D11" i="48"/>
  <c r="A11" i="48"/>
  <c r="AH10" i="48"/>
  <c r="V10" i="48"/>
  <c r="U10" i="48"/>
  <c r="T10" i="48"/>
  <c r="S10" i="48"/>
  <c r="Q10" i="48"/>
  <c r="P10" i="48"/>
  <c r="O10" i="48"/>
  <c r="M10" i="48"/>
  <c r="L10" i="48"/>
  <c r="K10" i="48"/>
  <c r="G10" i="48"/>
  <c r="F10" i="48"/>
  <c r="A10" i="48"/>
  <c r="Y8" i="48"/>
  <c r="X8" i="48"/>
  <c r="W8" i="48"/>
  <c r="V8" i="48"/>
  <c r="U8" i="48"/>
  <c r="T8" i="48"/>
  <c r="S8" i="48"/>
  <c r="R8" i="48"/>
  <c r="Q8" i="48"/>
  <c r="P8" i="48"/>
  <c r="O8" i="48"/>
  <c r="N8" i="48"/>
  <c r="M8" i="48"/>
  <c r="L8" i="48"/>
  <c r="K8" i="48"/>
  <c r="J8" i="48"/>
  <c r="I8" i="48"/>
  <c r="H8" i="48"/>
  <c r="G8" i="48"/>
  <c r="F8" i="48"/>
  <c r="E8" i="48"/>
  <c r="D8" i="48"/>
  <c r="AH7" i="48"/>
  <c r="V7" i="48"/>
  <c r="U7" i="48"/>
  <c r="T7" i="48"/>
  <c r="S7" i="48"/>
  <c r="P7" i="48"/>
  <c r="O7" i="48"/>
  <c r="M7" i="48"/>
  <c r="L7" i="48"/>
  <c r="K7" i="48"/>
  <c r="F7" i="48"/>
  <c r="A7" i="48"/>
  <c r="R150" i="47"/>
  <c r="R140" i="47"/>
  <c r="R139" i="47"/>
  <c r="R141" i="47" s="1"/>
  <c r="R146" i="47" s="1"/>
  <c r="Q138" i="47"/>
  <c r="Q135" i="47"/>
  <c r="Q134" i="47"/>
  <c r="Q136" i="47" s="1"/>
  <c r="P132" i="47"/>
  <c r="M132" i="47"/>
  <c r="L132" i="47"/>
  <c r="Y128" i="47"/>
  <c r="X128" i="47"/>
  <c r="W128" i="47"/>
  <c r="V128" i="47"/>
  <c r="U128" i="47"/>
  <c r="T128" i="47"/>
  <c r="S128" i="47"/>
  <c r="R128" i="47"/>
  <c r="Q128" i="47"/>
  <c r="P128" i="47"/>
  <c r="O128" i="47"/>
  <c r="N128" i="47"/>
  <c r="M128" i="47"/>
  <c r="L128" i="47"/>
  <c r="K128" i="47"/>
  <c r="J128" i="47"/>
  <c r="I128" i="47"/>
  <c r="H128" i="47"/>
  <c r="G128" i="47"/>
  <c r="F128" i="47"/>
  <c r="E128" i="47"/>
  <c r="D128" i="47"/>
  <c r="A128" i="47"/>
  <c r="Y125" i="47"/>
  <c r="X125" i="47"/>
  <c r="W125" i="47"/>
  <c r="V125" i="47"/>
  <c r="U125" i="47"/>
  <c r="T125" i="47"/>
  <c r="S125" i="47"/>
  <c r="R125" i="47"/>
  <c r="Q125" i="47"/>
  <c r="P125" i="47"/>
  <c r="O125" i="47"/>
  <c r="N125" i="47"/>
  <c r="M125" i="47"/>
  <c r="L125" i="47"/>
  <c r="K125" i="47"/>
  <c r="J125" i="47"/>
  <c r="I125" i="47"/>
  <c r="H125" i="47"/>
  <c r="G125" i="47"/>
  <c r="F125" i="47"/>
  <c r="E125" i="47"/>
  <c r="D125" i="47"/>
  <c r="V124" i="47"/>
  <c r="U124" i="47"/>
  <c r="S124" i="47"/>
  <c r="M124" i="47"/>
  <c r="F124" i="47"/>
  <c r="D124" i="47"/>
  <c r="A124" i="47"/>
  <c r="V123" i="47"/>
  <c r="U123" i="47"/>
  <c r="T123" i="47"/>
  <c r="S123" i="47"/>
  <c r="P123" i="47"/>
  <c r="O123" i="47"/>
  <c r="M123" i="47"/>
  <c r="L123" i="47"/>
  <c r="K123" i="47"/>
  <c r="F123" i="47"/>
  <c r="A123" i="47"/>
  <c r="Y120" i="47"/>
  <c r="X120" i="47"/>
  <c r="W120" i="47"/>
  <c r="V120" i="47"/>
  <c r="U120" i="47"/>
  <c r="T120" i="47"/>
  <c r="S120" i="47"/>
  <c r="R120" i="47"/>
  <c r="Q120" i="47"/>
  <c r="P120" i="47"/>
  <c r="O120" i="47"/>
  <c r="N120" i="47"/>
  <c r="M120" i="47"/>
  <c r="L120" i="47"/>
  <c r="K120" i="47"/>
  <c r="J120" i="47"/>
  <c r="I120" i="47"/>
  <c r="H120" i="47"/>
  <c r="G120" i="47"/>
  <c r="F120" i="47"/>
  <c r="E120" i="47"/>
  <c r="D120" i="47"/>
  <c r="V119" i="47"/>
  <c r="U119" i="47"/>
  <c r="T119" i="47"/>
  <c r="S119" i="47"/>
  <c r="P119" i="47"/>
  <c r="O119" i="47"/>
  <c r="M119" i="47"/>
  <c r="L119" i="47"/>
  <c r="K119" i="47"/>
  <c r="F119" i="47"/>
  <c r="D119" i="47"/>
  <c r="A119" i="47"/>
  <c r="V118" i="47"/>
  <c r="U118" i="47"/>
  <c r="T118" i="47"/>
  <c r="S118" i="47"/>
  <c r="P118" i="47"/>
  <c r="O118" i="47"/>
  <c r="M118" i="47"/>
  <c r="L118" i="47"/>
  <c r="K118" i="47"/>
  <c r="F118" i="47"/>
  <c r="A118" i="47"/>
  <c r="V117" i="47"/>
  <c r="U117" i="47"/>
  <c r="T117" i="47"/>
  <c r="S117" i="47"/>
  <c r="P117" i="47"/>
  <c r="O117" i="47"/>
  <c r="M117" i="47"/>
  <c r="L117" i="47"/>
  <c r="K117" i="47"/>
  <c r="F117" i="47"/>
  <c r="D117" i="47"/>
  <c r="A117" i="47"/>
  <c r="V116" i="47"/>
  <c r="U116" i="47"/>
  <c r="T116" i="47"/>
  <c r="S116" i="47"/>
  <c r="P116" i="47"/>
  <c r="O116" i="47"/>
  <c r="M116" i="47"/>
  <c r="L116" i="47"/>
  <c r="K116" i="47"/>
  <c r="F116" i="47"/>
  <c r="D116" i="47"/>
  <c r="A116" i="47"/>
  <c r="V115" i="47"/>
  <c r="U115" i="47"/>
  <c r="T115" i="47"/>
  <c r="S115" i="47"/>
  <c r="P115" i="47"/>
  <c r="O115" i="47"/>
  <c r="M115" i="47"/>
  <c r="L115" i="47"/>
  <c r="K115" i="47"/>
  <c r="F115" i="47"/>
  <c r="D115" i="47"/>
  <c r="A115" i="47"/>
  <c r="V114" i="47"/>
  <c r="U114" i="47"/>
  <c r="T114" i="47"/>
  <c r="S114" i="47"/>
  <c r="P114" i="47"/>
  <c r="O114" i="47"/>
  <c r="M114" i="47"/>
  <c r="L114" i="47"/>
  <c r="K114" i="47"/>
  <c r="F114" i="47"/>
  <c r="D114" i="47"/>
  <c r="A114" i="47"/>
  <c r="Y111" i="47"/>
  <c r="X111" i="47"/>
  <c r="W111" i="47"/>
  <c r="V111" i="47"/>
  <c r="U111" i="47"/>
  <c r="T111" i="47"/>
  <c r="S111" i="47"/>
  <c r="R111" i="47"/>
  <c r="Q111" i="47"/>
  <c r="P111" i="47"/>
  <c r="O111" i="47"/>
  <c r="N111" i="47"/>
  <c r="M111" i="47"/>
  <c r="L111" i="47"/>
  <c r="K111" i="47"/>
  <c r="J111" i="47"/>
  <c r="I111" i="47"/>
  <c r="H111" i="47"/>
  <c r="G111" i="47"/>
  <c r="F111" i="47"/>
  <c r="E111" i="47"/>
  <c r="D111" i="47"/>
  <c r="V110" i="47"/>
  <c r="U110" i="47"/>
  <c r="T110" i="47"/>
  <c r="S110" i="47"/>
  <c r="P110" i="47"/>
  <c r="O110" i="47"/>
  <c r="M110" i="47"/>
  <c r="L110" i="47"/>
  <c r="K110" i="47"/>
  <c r="F110" i="47"/>
  <c r="D110" i="47"/>
  <c r="A110" i="47"/>
  <c r="V109" i="47"/>
  <c r="U109" i="47"/>
  <c r="T109" i="47"/>
  <c r="S109" i="47"/>
  <c r="P109" i="47"/>
  <c r="O109" i="47"/>
  <c r="M109" i="47"/>
  <c r="L109" i="47"/>
  <c r="K109" i="47"/>
  <c r="G109" i="47"/>
  <c r="F109" i="47"/>
  <c r="D109" i="47"/>
  <c r="A109" i="47"/>
  <c r="V108" i="47"/>
  <c r="U108" i="47"/>
  <c r="T108" i="47"/>
  <c r="S108" i="47"/>
  <c r="P108" i="47"/>
  <c r="O108" i="47"/>
  <c r="M108" i="47"/>
  <c r="L108" i="47"/>
  <c r="K108" i="47"/>
  <c r="F108" i="47"/>
  <c r="A108" i="47"/>
  <c r="Y105" i="47"/>
  <c r="X105" i="47"/>
  <c r="W105" i="47"/>
  <c r="V105" i="47"/>
  <c r="U105" i="47"/>
  <c r="T105" i="47"/>
  <c r="S105" i="47"/>
  <c r="R105" i="47"/>
  <c r="Q105" i="47"/>
  <c r="P105" i="47"/>
  <c r="O105" i="47"/>
  <c r="N105" i="47"/>
  <c r="M105" i="47"/>
  <c r="L105" i="47"/>
  <c r="K105" i="47"/>
  <c r="J105" i="47"/>
  <c r="I105" i="47"/>
  <c r="H105" i="47"/>
  <c r="G105" i="47"/>
  <c r="F105" i="47"/>
  <c r="E105" i="47"/>
  <c r="D105" i="47"/>
  <c r="V104" i="47"/>
  <c r="U104" i="47"/>
  <c r="T104" i="47"/>
  <c r="S104" i="47"/>
  <c r="P104" i="47"/>
  <c r="O104" i="47"/>
  <c r="M104" i="47"/>
  <c r="L104" i="47"/>
  <c r="K104" i="47"/>
  <c r="F104" i="47"/>
  <c r="D104" i="47"/>
  <c r="A104" i="47"/>
  <c r="V103" i="47"/>
  <c r="U103" i="47"/>
  <c r="T103" i="47"/>
  <c r="S103" i="47"/>
  <c r="P103" i="47"/>
  <c r="O103" i="47"/>
  <c r="M103" i="47"/>
  <c r="L103" i="47"/>
  <c r="K103" i="47"/>
  <c r="F103" i="47"/>
  <c r="D103" i="47"/>
  <c r="A103" i="47"/>
  <c r="V102" i="47"/>
  <c r="U102" i="47"/>
  <c r="T102" i="47"/>
  <c r="S102" i="47"/>
  <c r="P102" i="47"/>
  <c r="O102" i="47"/>
  <c r="N102" i="47"/>
  <c r="M102" i="47"/>
  <c r="L102" i="47"/>
  <c r="K102" i="47"/>
  <c r="F102" i="47"/>
  <c r="D102" i="47"/>
  <c r="A102" i="47"/>
  <c r="V101" i="47"/>
  <c r="U101" i="47"/>
  <c r="T101" i="47"/>
  <c r="S101" i="47"/>
  <c r="P101" i="47"/>
  <c r="O101" i="47"/>
  <c r="M101" i="47"/>
  <c r="L101" i="47"/>
  <c r="K101" i="47"/>
  <c r="F101" i="47"/>
  <c r="D101" i="47"/>
  <c r="A101" i="47"/>
  <c r="V100" i="47"/>
  <c r="U100" i="47"/>
  <c r="T100" i="47"/>
  <c r="S100" i="47"/>
  <c r="P100" i="47"/>
  <c r="O100" i="47"/>
  <c r="M100" i="47"/>
  <c r="L100" i="47"/>
  <c r="K100" i="47"/>
  <c r="F100" i="47"/>
  <c r="A100" i="47"/>
  <c r="V99" i="47"/>
  <c r="U99" i="47"/>
  <c r="T99" i="47"/>
  <c r="S99" i="47"/>
  <c r="P99" i="47"/>
  <c r="O99" i="47"/>
  <c r="N99" i="47"/>
  <c r="M99" i="47"/>
  <c r="L99" i="47"/>
  <c r="K99" i="47"/>
  <c r="F99" i="47"/>
  <c r="A99" i="47"/>
  <c r="V98" i="47"/>
  <c r="U98" i="47"/>
  <c r="S98" i="47"/>
  <c r="P98" i="47"/>
  <c r="O98" i="47"/>
  <c r="M98" i="47"/>
  <c r="F98" i="47"/>
  <c r="D98" i="47"/>
  <c r="A98" i="47"/>
  <c r="V97" i="47"/>
  <c r="U97" i="47"/>
  <c r="T97" i="47"/>
  <c r="S97" i="47"/>
  <c r="P97" i="47"/>
  <c r="O97" i="47"/>
  <c r="M97" i="47"/>
  <c r="L97" i="47"/>
  <c r="K97" i="47"/>
  <c r="F97" i="47"/>
  <c r="A97" i="47"/>
  <c r="V96" i="47"/>
  <c r="U96" i="47"/>
  <c r="T96" i="47"/>
  <c r="S96" i="47"/>
  <c r="P96" i="47"/>
  <c r="O96" i="47"/>
  <c r="M96" i="47"/>
  <c r="L96" i="47"/>
  <c r="K96" i="47"/>
  <c r="G96" i="47"/>
  <c r="A96" i="47"/>
  <c r="V95" i="47"/>
  <c r="U95" i="47"/>
  <c r="T95" i="47"/>
  <c r="S95" i="47"/>
  <c r="P95" i="47"/>
  <c r="O95" i="47"/>
  <c r="M95" i="47"/>
  <c r="L95" i="47"/>
  <c r="K95" i="47"/>
  <c r="A95" i="47"/>
  <c r="V94" i="47"/>
  <c r="U94" i="47"/>
  <c r="T94" i="47"/>
  <c r="S94" i="47"/>
  <c r="P94" i="47"/>
  <c r="O94" i="47"/>
  <c r="M94" i="47"/>
  <c r="L94" i="47"/>
  <c r="K94" i="47"/>
  <c r="F94" i="47"/>
  <c r="D94" i="47"/>
  <c r="A94" i="47"/>
  <c r="V93" i="47"/>
  <c r="U93" i="47"/>
  <c r="T93" i="47"/>
  <c r="S93" i="47"/>
  <c r="P93" i="47"/>
  <c r="O93" i="47"/>
  <c r="M93" i="47"/>
  <c r="L93" i="47"/>
  <c r="K93" i="47"/>
  <c r="F93" i="47"/>
  <c r="A93" i="47"/>
  <c r="V92" i="47"/>
  <c r="U92" i="47"/>
  <c r="T92" i="47"/>
  <c r="S92" i="47"/>
  <c r="P92" i="47"/>
  <c r="O92" i="47"/>
  <c r="M92" i="47"/>
  <c r="L92" i="47"/>
  <c r="K92" i="47"/>
  <c r="F92" i="47"/>
  <c r="A92" i="47"/>
  <c r="V91" i="47"/>
  <c r="U91" i="47"/>
  <c r="T91" i="47"/>
  <c r="S91" i="47"/>
  <c r="P91" i="47"/>
  <c r="O91" i="47"/>
  <c r="M91" i="47"/>
  <c r="L91" i="47"/>
  <c r="K91" i="47"/>
  <c r="F91" i="47"/>
  <c r="A91" i="47"/>
  <c r="V90" i="47"/>
  <c r="U90" i="47"/>
  <c r="T90" i="47"/>
  <c r="S90" i="47"/>
  <c r="P90" i="47"/>
  <c r="O90" i="47"/>
  <c r="M90" i="47"/>
  <c r="L90" i="47"/>
  <c r="K90" i="47"/>
  <c r="F90" i="47"/>
  <c r="A90" i="47"/>
  <c r="V89" i="47"/>
  <c r="U89" i="47"/>
  <c r="T89" i="47"/>
  <c r="S89" i="47"/>
  <c r="P89" i="47"/>
  <c r="O89" i="47"/>
  <c r="M89" i="47"/>
  <c r="L89" i="47"/>
  <c r="K89" i="47"/>
  <c r="F89" i="47"/>
  <c r="A89" i="47"/>
  <c r="V88" i="47"/>
  <c r="U88" i="47"/>
  <c r="T88" i="47"/>
  <c r="S88" i="47"/>
  <c r="P88" i="47"/>
  <c r="O88" i="47"/>
  <c r="M88" i="47"/>
  <c r="L88" i="47"/>
  <c r="K88" i="47"/>
  <c r="F88" i="47"/>
  <c r="A88" i="47"/>
  <c r="V87" i="47"/>
  <c r="U87" i="47"/>
  <c r="T87" i="47"/>
  <c r="S87" i="47"/>
  <c r="P87" i="47"/>
  <c r="O87" i="47"/>
  <c r="M87" i="47"/>
  <c r="L87" i="47"/>
  <c r="K87" i="47"/>
  <c r="F87" i="47"/>
  <c r="A87" i="47"/>
  <c r="V86" i="47"/>
  <c r="U86" i="47"/>
  <c r="T86" i="47"/>
  <c r="S86" i="47"/>
  <c r="P86" i="47"/>
  <c r="O86" i="47"/>
  <c r="M86" i="47"/>
  <c r="L86" i="47"/>
  <c r="K86" i="47"/>
  <c r="F86" i="47"/>
  <c r="A86" i="47"/>
  <c r="V85" i="47"/>
  <c r="U85" i="47"/>
  <c r="T85" i="47"/>
  <c r="S85" i="47"/>
  <c r="P85" i="47"/>
  <c r="O85" i="47"/>
  <c r="M85" i="47"/>
  <c r="L85" i="47"/>
  <c r="K85" i="47"/>
  <c r="F85" i="47"/>
  <c r="A85" i="47"/>
  <c r="V84" i="47"/>
  <c r="U84" i="47"/>
  <c r="T84" i="47"/>
  <c r="S84" i="47"/>
  <c r="P84" i="47"/>
  <c r="O84" i="47"/>
  <c r="M84" i="47"/>
  <c r="L84" i="47"/>
  <c r="K84" i="47"/>
  <c r="F84" i="47"/>
  <c r="A84" i="47"/>
  <c r="V83" i="47"/>
  <c r="U83" i="47"/>
  <c r="T83" i="47"/>
  <c r="S83" i="47"/>
  <c r="P83" i="47"/>
  <c r="O83" i="47"/>
  <c r="M83" i="47"/>
  <c r="L83" i="47"/>
  <c r="K83" i="47"/>
  <c r="F83" i="47"/>
  <c r="A83" i="47"/>
  <c r="Y82" i="47"/>
  <c r="V82" i="47"/>
  <c r="U82" i="47"/>
  <c r="T82" i="47"/>
  <c r="S82" i="47"/>
  <c r="P82" i="47"/>
  <c r="O82" i="47"/>
  <c r="N82" i="47"/>
  <c r="M82" i="47"/>
  <c r="L82" i="47"/>
  <c r="K82" i="47"/>
  <c r="G82" i="47"/>
  <c r="F82" i="47"/>
  <c r="A82" i="47"/>
  <c r="V81" i="47"/>
  <c r="U81" i="47"/>
  <c r="T81" i="47"/>
  <c r="S81" i="47"/>
  <c r="P81" i="47"/>
  <c r="O81" i="47"/>
  <c r="M81" i="47"/>
  <c r="L81" i="47"/>
  <c r="K81" i="47"/>
  <c r="F81" i="47"/>
  <c r="A81" i="47"/>
  <c r="V80" i="47"/>
  <c r="U80" i="47"/>
  <c r="T80" i="47"/>
  <c r="S80" i="47"/>
  <c r="P80" i="47"/>
  <c r="O80" i="47"/>
  <c r="N80" i="47"/>
  <c r="M80" i="47"/>
  <c r="L80" i="47"/>
  <c r="K80" i="47"/>
  <c r="F80" i="47"/>
  <c r="A80" i="47"/>
  <c r="V79" i="47"/>
  <c r="U79" i="47"/>
  <c r="T79" i="47"/>
  <c r="S79" i="47"/>
  <c r="P79" i="47"/>
  <c r="O79" i="47"/>
  <c r="M79" i="47"/>
  <c r="L79" i="47"/>
  <c r="K79" i="47"/>
  <c r="F79" i="47"/>
  <c r="A79" i="47"/>
  <c r="V78" i="47"/>
  <c r="U78" i="47"/>
  <c r="T78" i="47"/>
  <c r="S78" i="47"/>
  <c r="P78" i="47"/>
  <c r="O78" i="47"/>
  <c r="M78" i="47"/>
  <c r="L78" i="47"/>
  <c r="K78" i="47"/>
  <c r="F78" i="47"/>
  <c r="A78" i="47"/>
  <c r="V77" i="47"/>
  <c r="U77" i="47"/>
  <c r="T77" i="47"/>
  <c r="S77" i="47"/>
  <c r="P77" i="47"/>
  <c r="O77" i="47"/>
  <c r="M77" i="47"/>
  <c r="L77" i="47"/>
  <c r="K77" i="47"/>
  <c r="F77" i="47"/>
  <c r="A77" i="47"/>
  <c r="V76" i="47"/>
  <c r="U76" i="47"/>
  <c r="T76" i="47"/>
  <c r="S76" i="47"/>
  <c r="P76" i="47"/>
  <c r="O76" i="47"/>
  <c r="M76" i="47"/>
  <c r="L76" i="47"/>
  <c r="K76" i="47"/>
  <c r="F76" i="47"/>
  <c r="A76" i="47"/>
  <c r="V75" i="47"/>
  <c r="U75" i="47"/>
  <c r="T75" i="47"/>
  <c r="S75" i="47"/>
  <c r="P75" i="47"/>
  <c r="O75" i="47"/>
  <c r="M75" i="47"/>
  <c r="L75" i="47"/>
  <c r="K75" i="47"/>
  <c r="F75" i="47"/>
  <c r="D75" i="47"/>
  <c r="A75" i="47"/>
  <c r="V74" i="47"/>
  <c r="U74" i="47"/>
  <c r="T74" i="47"/>
  <c r="S74" i="47"/>
  <c r="P74" i="47"/>
  <c r="O74" i="47"/>
  <c r="N74" i="47"/>
  <c r="M74" i="47"/>
  <c r="L74" i="47"/>
  <c r="K74" i="47"/>
  <c r="G74" i="47"/>
  <c r="F74" i="47"/>
  <c r="A74" i="47"/>
  <c r="V73" i="47"/>
  <c r="U73" i="47"/>
  <c r="T73" i="47"/>
  <c r="S73" i="47"/>
  <c r="P73" i="47"/>
  <c r="O73" i="47"/>
  <c r="M73" i="47"/>
  <c r="L73" i="47"/>
  <c r="K73" i="47"/>
  <c r="F73" i="47"/>
  <c r="D73" i="47"/>
  <c r="A73" i="47"/>
  <c r="V72" i="47"/>
  <c r="U72" i="47"/>
  <c r="T72" i="47"/>
  <c r="S72" i="47"/>
  <c r="P72" i="47"/>
  <c r="O72" i="47"/>
  <c r="N72" i="47"/>
  <c r="M72" i="47"/>
  <c r="L72" i="47"/>
  <c r="K72" i="47"/>
  <c r="F72" i="47"/>
  <c r="A72" i="47"/>
  <c r="V71" i="47"/>
  <c r="U71" i="47"/>
  <c r="T71" i="47"/>
  <c r="S71" i="47"/>
  <c r="P71" i="47"/>
  <c r="O71" i="47"/>
  <c r="M71" i="47"/>
  <c r="L71" i="47"/>
  <c r="K71" i="47"/>
  <c r="F71" i="47"/>
  <c r="D71" i="47"/>
  <c r="A71" i="47"/>
  <c r="V70" i="47"/>
  <c r="U70" i="47"/>
  <c r="T70" i="47"/>
  <c r="S70" i="47"/>
  <c r="P70" i="47"/>
  <c r="O70" i="47"/>
  <c r="M70" i="47"/>
  <c r="L70" i="47"/>
  <c r="K70" i="47"/>
  <c r="F70" i="47"/>
  <c r="A70" i="47"/>
  <c r="V69" i="47"/>
  <c r="U69" i="47"/>
  <c r="T69" i="47"/>
  <c r="S69" i="47"/>
  <c r="P69" i="47"/>
  <c r="O69" i="47"/>
  <c r="N69" i="47"/>
  <c r="M69" i="47"/>
  <c r="L69" i="47"/>
  <c r="K69" i="47"/>
  <c r="F69" i="47"/>
  <c r="A69" i="47"/>
  <c r="V68" i="47"/>
  <c r="U68" i="47"/>
  <c r="T68" i="47"/>
  <c r="S68" i="47"/>
  <c r="P68" i="47"/>
  <c r="O68" i="47"/>
  <c r="M68" i="47"/>
  <c r="L68" i="47"/>
  <c r="K68" i="47"/>
  <c r="F68" i="47"/>
  <c r="A68" i="47"/>
  <c r="V67" i="47"/>
  <c r="U67" i="47"/>
  <c r="T67" i="47"/>
  <c r="S67" i="47"/>
  <c r="P67" i="47"/>
  <c r="O67" i="47"/>
  <c r="M67" i="47"/>
  <c r="L67" i="47"/>
  <c r="K67" i="47"/>
  <c r="F67" i="47"/>
  <c r="A67" i="47"/>
  <c r="V66" i="47"/>
  <c r="U66" i="47"/>
  <c r="T66" i="47"/>
  <c r="S66" i="47"/>
  <c r="P66" i="47"/>
  <c r="O66" i="47"/>
  <c r="M66" i="47"/>
  <c r="L66" i="47"/>
  <c r="K66" i="47"/>
  <c r="F66" i="47"/>
  <c r="A66" i="47"/>
  <c r="V65" i="47"/>
  <c r="U65" i="47"/>
  <c r="T65" i="47"/>
  <c r="S65" i="47"/>
  <c r="P65" i="47"/>
  <c r="O65" i="47"/>
  <c r="M65" i="47"/>
  <c r="L65" i="47"/>
  <c r="K65" i="47"/>
  <c r="F65" i="47"/>
  <c r="A65" i="47"/>
  <c r="V64" i="47"/>
  <c r="U64" i="47"/>
  <c r="T64" i="47"/>
  <c r="S64" i="47"/>
  <c r="P64" i="47"/>
  <c r="O64" i="47"/>
  <c r="M64" i="47"/>
  <c r="L64" i="47"/>
  <c r="K64" i="47"/>
  <c r="F64" i="47"/>
  <c r="A64" i="47"/>
  <c r="V63" i="47"/>
  <c r="U63" i="47"/>
  <c r="T63" i="47"/>
  <c r="S63" i="47"/>
  <c r="P63" i="47"/>
  <c r="O63" i="47"/>
  <c r="M63" i="47"/>
  <c r="L63" i="47"/>
  <c r="K63" i="47"/>
  <c r="F63" i="47"/>
  <c r="A63" i="47"/>
  <c r="V62" i="47"/>
  <c r="U62" i="47"/>
  <c r="T62" i="47"/>
  <c r="S62" i="47"/>
  <c r="P62" i="47"/>
  <c r="O62" i="47"/>
  <c r="M62" i="47"/>
  <c r="L62" i="47"/>
  <c r="K62" i="47"/>
  <c r="F62" i="47"/>
  <c r="A62" i="47"/>
  <c r="V61" i="47"/>
  <c r="U61" i="47"/>
  <c r="T61" i="47"/>
  <c r="S61" i="47"/>
  <c r="P61" i="47"/>
  <c r="O61" i="47"/>
  <c r="M61" i="47"/>
  <c r="L61" i="47"/>
  <c r="K61" i="47"/>
  <c r="F61" i="47"/>
  <c r="A61" i="47"/>
  <c r="V60" i="47"/>
  <c r="U60" i="47"/>
  <c r="T60" i="47"/>
  <c r="S60" i="47"/>
  <c r="P60" i="47"/>
  <c r="O60" i="47"/>
  <c r="M60" i="47"/>
  <c r="L60" i="47"/>
  <c r="K60" i="47"/>
  <c r="F60" i="47"/>
  <c r="A60" i="47"/>
  <c r="V59" i="47"/>
  <c r="U59" i="47"/>
  <c r="T59" i="47"/>
  <c r="S59" i="47"/>
  <c r="P59" i="47"/>
  <c r="O59" i="47"/>
  <c r="M59" i="47"/>
  <c r="L59" i="47"/>
  <c r="K59" i="47"/>
  <c r="F59" i="47"/>
  <c r="D59" i="47"/>
  <c r="A59" i="47"/>
  <c r="Y57" i="47"/>
  <c r="X57" i="47"/>
  <c r="W57" i="47"/>
  <c r="V57" i="47"/>
  <c r="U57" i="47"/>
  <c r="T57" i="47"/>
  <c r="S57" i="47"/>
  <c r="R57" i="47"/>
  <c r="Q57" i="47"/>
  <c r="P57" i="47"/>
  <c r="O57" i="47"/>
  <c r="N57" i="47"/>
  <c r="M57" i="47"/>
  <c r="L57" i="47"/>
  <c r="K57" i="47"/>
  <c r="J57" i="47"/>
  <c r="I57" i="47"/>
  <c r="H57" i="47"/>
  <c r="G57" i="47"/>
  <c r="F57" i="47"/>
  <c r="E57" i="47"/>
  <c r="D57" i="47"/>
  <c r="V56" i="47"/>
  <c r="U56" i="47"/>
  <c r="T56" i="47"/>
  <c r="S56" i="47"/>
  <c r="P56" i="47"/>
  <c r="O56" i="47"/>
  <c r="M56" i="47"/>
  <c r="L56" i="47"/>
  <c r="K56" i="47"/>
  <c r="A56" i="47"/>
  <c r="V55" i="47"/>
  <c r="U55" i="47"/>
  <c r="T55" i="47"/>
  <c r="S55" i="47"/>
  <c r="P55" i="47"/>
  <c r="O55" i="47"/>
  <c r="M55" i="47"/>
  <c r="L55" i="47"/>
  <c r="K55" i="47"/>
  <c r="A55" i="47"/>
  <c r="V54" i="47"/>
  <c r="U54" i="47"/>
  <c r="T54" i="47"/>
  <c r="S54" i="47"/>
  <c r="P54" i="47"/>
  <c r="O54" i="47"/>
  <c r="M54" i="47"/>
  <c r="L54" i="47"/>
  <c r="K54" i="47"/>
  <c r="F54" i="47"/>
  <c r="A54" i="47"/>
  <c r="V53" i="47"/>
  <c r="U53" i="47"/>
  <c r="T53" i="47"/>
  <c r="S53" i="47"/>
  <c r="P53" i="47"/>
  <c r="O53" i="47"/>
  <c r="M53" i="47"/>
  <c r="L53" i="47"/>
  <c r="K53" i="47"/>
  <c r="F53" i="47"/>
  <c r="A53" i="47"/>
  <c r="V52" i="47"/>
  <c r="U52" i="47"/>
  <c r="T52" i="47"/>
  <c r="S52" i="47"/>
  <c r="P52" i="47"/>
  <c r="O52" i="47"/>
  <c r="M52" i="47"/>
  <c r="L52" i="47"/>
  <c r="K52" i="47"/>
  <c r="F52" i="47"/>
  <c r="A52" i="47"/>
  <c r="V51" i="47"/>
  <c r="U51" i="47"/>
  <c r="T51" i="47"/>
  <c r="S51" i="47"/>
  <c r="P51" i="47"/>
  <c r="O51" i="47"/>
  <c r="M51" i="47"/>
  <c r="L51" i="47"/>
  <c r="K51" i="47"/>
  <c r="F51" i="47"/>
  <c r="A51" i="47"/>
  <c r="V50" i="47"/>
  <c r="U50" i="47"/>
  <c r="T50" i="47"/>
  <c r="S50" i="47"/>
  <c r="P50" i="47"/>
  <c r="O50" i="47"/>
  <c r="M50" i="47"/>
  <c r="L50" i="47"/>
  <c r="K50" i="47"/>
  <c r="F50" i="47"/>
  <c r="A50" i="47"/>
  <c r="V49" i="47"/>
  <c r="U49" i="47"/>
  <c r="T49" i="47"/>
  <c r="S49" i="47"/>
  <c r="P49" i="47"/>
  <c r="O49" i="47"/>
  <c r="M49" i="47"/>
  <c r="L49" i="47"/>
  <c r="K49" i="47"/>
  <c r="F49" i="47"/>
  <c r="A49" i="47"/>
  <c r="V48" i="47"/>
  <c r="U48" i="47"/>
  <c r="T48" i="47"/>
  <c r="S48" i="47"/>
  <c r="P48" i="47"/>
  <c r="O48" i="47"/>
  <c r="M48" i="47"/>
  <c r="L48" i="47"/>
  <c r="K48" i="47"/>
  <c r="F48" i="47"/>
  <c r="A48" i="47"/>
  <c r="V47" i="47"/>
  <c r="U47" i="47"/>
  <c r="T47" i="47"/>
  <c r="S47" i="47"/>
  <c r="P47" i="47"/>
  <c r="O47" i="47"/>
  <c r="M47" i="47"/>
  <c r="L47" i="47"/>
  <c r="K47" i="47"/>
  <c r="F47" i="47"/>
  <c r="A47" i="47"/>
  <c r="V46" i="47"/>
  <c r="U46" i="47"/>
  <c r="T46" i="47"/>
  <c r="S46" i="47"/>
  <c r="P46" i="47"/>
  <c r="O46" i="47"/>
  <c r="M46" i="47"/>
  <c r="L46" i="47"/>
  <c r="K46" i="47"/>
  <c r="G46" i="47"/>
  <c r="F46" i="47"/>
  <c r="A46" i="47"/>
  <c r="V45" i="47"/>
  <c r="U45" i="47"/>
  <c r="T45" i="47"/>
  <c r="S45" i="47"/>
  <c r="P45" i="47"/>
  <c r="O45" i="47"/>
  <c r="M45" i="47"/>
  <c r="L45" i="47"/>
  <c r="K45" i="47"/>
  <c r="F45" i="47"/>
  <c r="A45" i="47"/>
  <c r="V44" i="47"/>
  <c r="U44" i="47"/>
  <c r="T44" i="47"/>
  <c r="S44" i="47"/>
  <c r="P44" i="47"/>
  <c r="O44" i="47"/>
  <c r="M44" i="47"/>
  <c r="L44" i="47"/>
  <c r="K44" i="47"/>
  <c r="F44" i="47"/>
  <c r="A44" i="47"/>
  <c r="V43" i="47"/>
  <c r="U43" i="47"/>
  <c r="T43" i="47"/>
  <c r="S43" i="47"/>
  <c r="P43" i="47"/>
  <c r="O43" i="47"/>
  <c r="M43" i="47"/>
  <c r="L43" i="47"/>
  <c r="K43" i="47"/>
  <c r="F43" i="47"/>
  <c r="A43" i="47"/>
  <c r="V42" i="47"/>
  <c r="U42" i="47"/>
  <c r="T42" i="47"/>
  <c r="S42" i="47"/>
  <c r="P42" i="47"/>
  <c r="O42" i="47"/>
  <c r="M42" i="47"/>
  <c r="L42" i="47"/>
  <c r="K42" i="47"/>
  <c r="G42" i="47"/>
  <c r="F42" i="47"/>
  <c r="A42" i="47"/>
  <c r="V41" i="47"/>
  <c r="U41" i="47"/>
  <c r="T41" i="47"/>
  <c r="S41" i="47"/>
  <c r="P41" i="47"/>
  <c r="O41" i="47"/>
  <c r="M41" i="47"/>
  <c r="L41" i="47"/>
  <c r="K41" i="47"/>
  <c r="F41" i="47"/>
  <c r="A41" i="47"/>
  <c r="V40" i="47"/>
  <c r="U40" i="47"/>
  <c r="S40" i="47"/>
  <c r="O40" i="47"/>
  <c r="M40" i="47"/>
  <c r="F40" i="47"/>
  <c r="A40" i="47"/>
  <c r="V39" i="47"/>
  <c r="U39" i="47"/>
  <c r="S39" i="47"/>
  <c r="O39" i="47"/>
  <c r="N39" i="47"/>
  <c r="M39" i="47"/>
  <c r="F39" i="47"/>
  <c r="A39" i="47"/>
  <c r="V38" i="47"/>
  <c r="U38" i="47"/>
  <c r="S38" i="47"/>
  <c r="O38" i="47"/>
  <c r="N38" i="47"/>
  <c r="M38" i="47"/>
  <c r="F38" i="47"/>
  <c r="A38" i="47"/>
  <c r="V37" i="47"/>
  <c r="U37" i="47"/>
  <c r="S37" i="47"/>
  <c r="O37" i="47"/>
  <c r="M37" i="47"/>
  <c r="F37" i="47"/>
  <c r="A37" i="47"/>
  <c r="V36" i="47"/>
  <c r="U36" i="47"/>
  <c r="T36" i="47"/>
  <c r="S36" i="47"/>
  <c r="P36" i="47"/>
  <c r="O36" i="47"/>
  <c r="M36" i="47"/>
  <c r="L36" i="47"/>
  <c r="K36" i="47"/>
  <c r="A36" i="47"/>
  <c r="V35" i="47"/>
  <c r="U35" i="47"/>
  <c r="T35" i="47"/>
  <c r="S35" i="47"/>
  <c r="P35" i="47"/>
  <c r="O35" i="47"/>
  <c r="M35" i="47"/>
  <c r="L35" i="47"/>
  <c r="K35" i="47"/>
  <c r="A35" i="47"/>
  <c r="V34" i="47"/>
  <c r="U34" i="47"/>
  <c r="T34" i="47"/>
  <c r="S34" i="47"/>
  <c r="P34" i="47"/>
  <c r="O34" i="47"/>
  <c r="M34" i="47"/>
  <c r="L34" i="47"/>
  <c r="K34" i="47"/>
  <c r="F34" i="47"/>
  <c r="A34" i="47"/>
  <c r="V33" i="47"/>
  <c r="U33" i="47"/>
  <c r="T33" i="47"/>
  <c r="S33" i="47"/>
  <c r="P33" i="47"/>
  <c r="O33" i="47"/>
  <c r="M33" i="47"/>
  <c r="L33" i="47"/>
  <c r="K33" i="47"/>
  <c r="F33" i="47"/>
  <c r="A33" i="47"/>
  <c r="V32" i="47"/>
  <c r="U32" i="47"/>
  <c r="T32" i="47"/>
  <c r="S32" i="47"/>
  <c r="P32" i="47"/>
  <c r="O32" i="47"/>
  <c r="M32" i="47"/>
  <c r="L32" i="47"/>
  <c r="K32" i="47"/>
  <c r="F32" i="47"/>
  <c r="A32" i="47"/>
  <c r="V31" i="47"/>
  <c r="U31" i="47"/>
  <c r="T31" i="47"/>
  <c r="S31" i="47"/>
  <c r="P31" i="47"/>
  <c r="O31" i="47"/>
  <c r="M31" i="47"/>
  <c r="L31" i="47"/>
  <c r="K31" i="47"/>
  <c r="F31" i="47"/>
  <c r="A31" i="47"/>
  <c r="V30" i="47"/>
  <c r="U30" i="47"/>
  <c r="T30" i="47"/>
  <c r="S30" i="47"/>
  <c r="P30" i="47"/>
  <c r="O30" i="47"/>
  <c r="M30" i="47"/>
  <c r="L30" i="47"/>
  <c r="K30" i="47"/>
  <c r="F30" i="47"/>
  <c r="A30" i="47"/>
  <c r="V29" i="47"/>
  <c r="U29" i="47"/>
  <c r="T29" i="47"/>
  <c r="S29" i="47"/>
  <c r="P29" i="47"/>
  <c r="O29" i="47"/>
  <c r="M29" i="47"/>
  <c r="L29" i="47"/>
  <c r="K29" i="47"/>
  <c r="F29" i="47"/>
  <c r="A29" i="47"/>
  <c r="V28" i="47"/>
  <c r="U28" i="47"/>
  <c r="T28" i="47"/>
  <c r="S28" i="47"/>
  <c r="P28" i="47"/>
  <c r="O28" i="47"/>
  <c r="M28" i="47"/>
  <c r="L28" i="47"/>
  <c r="K28" i="47"/>
  <c r="F28" i="47"/>
  <c r="A28" i="47"/>
  <c r="V27" i="47"/>
  <c r="U27" i="47"/>
  <c r="T27" i="47"/>
  <c r="S27" i="47"/>
  <c r="P27" i="47"/>
  <c r="O27" i="47"/>
  <c r="M27" i="47"/>
  <c r="L27" i="47"/>
  <c r="K27" i="47"/>
  <c r="F27" i="47"/>
  <c r="A27" i="47"/>
  <c r="V26" i="47"/>
  <c r="U26" i="47"/>
  <c r="T26" i="47"/>
  <c r="S26" i="47"/>
  <c r="P26" i="47"/>
  <c r="O26" i="47"/>
  <c r="M26" i="47"/>
  <c r="L26" i="47"/>
  <c r="K26" i="47"/>
  <c r="F26" i="47"/>
  <c r="A26" i="47"/>
  <c r="V25" i="47"/>
  <c r="U25" i="47"/>
  <c r="T25" i="47"/>
  <c r="S25" i="47"/>
  <c r="P25" i="47"/>
  <c r="O25" i="47"/>
  <c r="M25" i="47"/>
  <c r="L25" i="47"/>
  <c r="K25" i="47"/>
  <c r="F25" i="47"/>
  <c r="A25" i="47"/>
  <c r="V24" i="47"/>
  <c r="U24" i="47"/>
  <c r="T24" i="47"/>
  <c r="S24" i="47"/>
  <c r="P24" i="47"/>
  <c r="O24" i="47"/>
  <c r="M24" i="47"/>
  <c r="L24" i="47"/>
  <c r="K24" i="47"/>
  <c r="F24" i="47"/>
  <c r="A24" i="47"/>
  <c r="V23" i="47"/>
  <c r="U23" i="47"/>
  <c r="T23" i="47"/>
  <c r="S23" i="47"/>
  <c r="P23" i="47"/>
  <c r="O23" i="47"/>
  <c r="M23" i="47"/>
  <c r="L23" i="47"/>
  <c r="K23" i="47"/>
  <c r="F23" i="47"/>
  <c r="A23" i="47"/>
  <c r="V22" i="47"/>
  <c r="U22" i="47"/>
  <c r="T22" i="47"/>
  <c r="S22" i="47"/>
  <c r="P22" i="47"/>
  <c r="O22" i="47"/>
  <c r="M22" i="47"/>
  <c r="L22" i="47"/>
  <c r="K22" i="47"/>
  <c r="F22" i="47"/>
  <c r="A22" i="47"/>
  <c r="V21" i="47"/>
  <c r="U21" i="47"/>
  <c r="T21" i="47"/>
  <c r="S21" i="47"/>
  <c r="P21" i="47"/>
  <c r="O21" i="47"/>
  <c r="N21" i="47"/>
  <c r="M21" i="47"/>
  <c r="L21" i="47"/>
  <c r="K21" i="47"/>
  <c r="F21" i="47"/>
  <c r="A21" i="47"/>
  <c r="V20" i="47"/>
  <c r="U20" i="47"/>
  <c r="T20" i="47"/>
  <c r="S20" i="47"/>
  <c r="P20" i="47"/>
  <c r="O20" i="47"/>
  <c r="N20" i="47"/>
  <c r="M20" i="47"/>
  <c r="L20" i="47"/>
  <c r="K20" i="47"/>
  <c r="F20" i="47"/>
  <c r="A20" i="47"/>
  <c r="V19" i="47"/>
  <c r="U19" i="47"/>
  <c r="T19" i="47"/>
  <c r="S19" i="47"/>
  <c r="P19" i="47"/>
  <c r="O19" i="47"/>
  <c r="M19" i="47"/>
  <c r="L19" i="47"/>
  <c r="K19" i="47"/>
  <c r="F19" i="47"/>
  <c r="D19" i="47"/>
  <c r="A19" i="47"/>
  <c r="V18" i="47"/>
  <c r="U18" i="47"/>
  <c r="T18" i="47"/>
  <c r="S18" i="47"/>
  <c r="P18" i="47"/>
  <c r="O18" i="47"/>
  <c r="M18" i="47"/>
  <c r="L18" i="47"/>
  <c r="K18" i="47"/>
  <c r="F18" i="47"/>
  <c r="A18" i="47"/>
  <c r="V17" i="47"/>
  <c r="U17" i="47"/>
  <c r="T17" i="47"/>
  <c r="S17" i="47"/>
  <c r="P17" i="47"/>
  <c r="O17" i="47"/>
  <c r="M17" i="47"/>
  <c r="L17" i="47"/>
  <c r="K17" i="47"/>
  <c r="F17" i="47"/>
  <c r="D17" i="47"/>
  <c r="A17" i="47"/>
  <c r="V16" i="47"/>
  <c r="U16" i="47"/>
  <c r="T16" i="47"/>
  <c r="S16" i="47"/>
  <c r="P16" i="47"/>
  <c r="O16" i="47"/>
  <c r="M16" i="47"/>
  <c r="L16" i="47"/>
  <c r="K16" i="47"/>
  <c r="F16" i="47"/>
  <c r="D16" i="47"/>
  <c r="A16" i="47"/>
  <c r="V15" i="47"/>
  <c r="U15" i="47"/>
  <c r="O15" i="47"/>
  <c r="F15" i="47"/>
  <c r="A15" i="47"/>
  <c r="V14" i="47"/>
  <c r="U14" i="47"/>
  <c r="T14" i="47"/>
  <c r="S14" i="47"/>
  <c r="P14" i="47"/>
  <c r="O14" i="47"/>
  <c r="M14" i="47"/>
  <c r="L14" i="47"/>
  <c r="K14" i="47"/>
  <c r="F14" i="47"/>
  <c r="D14" i="47"/>
  <c r="A14" i="47"/>
  <c r="V13" i="47"/>
  <c r="U13" i="47"/>
  <c r="T13" i="47"/>
  <c r="S13" i="47"/>
  <c r="P13" i="47"/>
  <c r="O13" i="47"/>
  <c r="M13" i="47"/>
  <c r="L13" i="47"/>
  <c r="K13" i="47"/>
  <c r="F13" i="47"/>
  <c r="A13" i="47"/>
  <c r="V12" i="47"/>
  <c r="U12" i="47"/>
  <c r="T12" i="47"/>
  <c r="S12" i="47"/>
  <c r="P12" i="47"/>
  <c r="O12" i="47"/>
  <c r="M12" i="47"/>
  <c r="L12" i="47"/>
  <c r="K12" i="47"/>
  <c r="F12" i="47"/>
  <c r="A12" i="47"/>
  <c r="V11" i="47"/>
  <c r="U11" i="47"/>
  <c r="T11" i="47"/>
  <c r="S11" i="47"/>
  <c r="P11" i="47"/>
  <c r="O11" i="47"/>
  <c r="M11" i="47"/>
  <c r="L11" i="47"/>
  <c r="K11" i="47"/>
  <c r="F11" i="47"/>
  <c r="D11" i="47"/>
  <c r="A11" i="47"/>
  <c r="V10" i="47"/>
  <c r="U10" i="47"/>
  <c r="T10" i="47"/>
  <c r="S10" i="47"/>
  <c r="P10" i="47"/>
  <c r="O10" i="47"/>
  <c r="N10" i="47"/>
  <c r="M10" i="47"/>
  <c r="L10" i="47"/>
  <c r="K10" i="47"/>
  <c r="F10" i="47"/>
  <c r="A10" i="47"/>
  <c r="V9" i="47"/>
  <c r="U9" i="47"/>
  <c r="T9" i="47"/>
  <c r="S9" i="47"/>
  <c r="P9" i="47"/>
  <c r="O9" i="47"/>
  <c r="M9" i="47"/>
  <c r="L9" i="47"/>
  <c r="K9" i="47"/>
  <c r="F9" i="47"/>
  <c r="A9" i="47"/>
  <c r="V8" i="47"/>
  <c r="U8" i="47"/>
  <c r="T8" i="47"/>
  <c r="S8" i="47"/>
  <c r="P8" i="47"/>
  <c r="O8" i="47"/>
  <c r="M8" i="47"/>
  <c r="L8" i="47"/>
  <c r="K8" i="47"/>
  <c r="F8" i="47"/>
  <c r="A8" i="47"/>
  <c r="V7" i="47"/>
  <c r="U7" i="47"/>
  <c r="T7" i="47"/>
  <c r="S7" i="47"/>
  <c r="P7" i="47"/>
  <c r="O7" i="47"/>
  <c r="M7" i="47"/>
  <c r="L7" i="47"/>
  <c r="K7" i="47"/>
  <c r="F7" i="47"/>
  <c r="D7" i="47"/>
  <c r="A7" i="47"/>
  <c r="F13" i="68"/>
  <c r="E13" i="68"/>
  <c r="F12" i="68"/>
  <c r="E12" i="68"/>
  <c r="F11" i="68"/>
  <c r="E11" i="68"/>
  <c r="F6" i="68"/>
  <c r="R34" i="23"/>
  <c r="R31" i="23"/>
  <c r="R29" i="23"/>
  <c r="Q27" i="23"/>
  <c r="Q25" i="23"/>
  <c r="P23" i="23"/>
  <c r="M23" i="23"/>
  <c r="L23" i="23"/>
  <c r="U21" i="23"/>
  <c r="T21" i="23"/>
  <c r="O21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A20" i="23"/>
  <c r="W19" i="23"/>
  <c r="V19" i="23"/>
  <c r="U19" i="23"/>
  <c r="T19" i="23"/>
  <c r="S19" i="23"/>
  <c r="P19" i="23"/>
  <c r="O19" i="23"/>
  <c r="N19" i="23"/>
  <c r="M19" i="23"/>
  <c r="L19" i="23"/>
  <c r="K19" i="23"/>
  <c r="F19" i="23"/>
  <c r="A19" i="23"/>
  <c r="V18" i="23"/>
  <c r="U18" i="23"/>
  <c r="T18" i="23"/>
  <c r="S18" i="23"/>
  <c r="P18" i="23"/>
  <c r="O18" i="23"/>
  <c r="M18" i="23"/>
  <c r="L18" i="23"/>
  <c r="K18" i="23"/>
  <c r="F18" i="23"/>
  <c r="A18" i="23"/>
  <c r="V17" i="23"/>
  <c r="U17" i="23"/>
  <c r="T17" i="23"/>
  <c r="S17" i="23"/>
  <c r="P17" i="23"/>
  <c r="O17" i="23"/>
  <c r="M17" i="23"/>
  <c r="L17" i="23"/>
  <c r="K17" i="23"/>
  <c r="F17" i="23"/>
  <c r="D17" i="23"/>
  <c r="A17" i="23"/>
  <c r="V16" i="23"/>
  <c r="U16" i="23"/>
  <c r="T16" i="23"/>
  <c r="S16" i="23"/>
  <c r="P16" i="23"/>
  <c r="O16" i="23"/>
  <c r="M16" i="23"/>
  <c r="L16" i="23"/>
  <c r="K16" i="23"/>
  <c r="F16" i="23"/>
  <c r="A16" i="23"/>
  <c r="W15" i="23"/>
  <c r="U15" i="23"/>
  <c r="T15" i="23"/>
  <c r="S15" i="23"/>
  <c r="P15" i="23"/>
  <c r="O15" i="23"/>
  <c r="M15" i="23"/>
  <c r="L15" i="23"/>
  <c r="K15" i="23"/>
  <c r="F15" i="23"/>
  <c r="A15" i="23"/>
  <c r="V14" i="23"/>
  <c r="U14" i="23"/>
  <c r="T14" i="23"/>
  <c r="S14" i="23"/>
  <c r="P14" i="23"/>
  <c r="O14" i="23"/>
  <c r="M14" i="23"/>
  <c r="L14" i="23"/>
  <c r="K14" i="23"/>
  <c r="F14" i="23"/>
  <c r="A14" i="23"/>
  <c r="V13" i="23"/>
  <c r="U13" i="23"/>
  <c r="T13" i="23"/>
  <c r="S13" i="23"/>
  <c r="P13" i="23"/>
  <c r="O13" i="23"/>
  <c r="M13" i="23"/>
  <c r="L13" i="23"/>
  <c r="K13" i="23"/>
  <c r="F13" i="23"/>
  <c r="A13" i="23"/>
  <c r="W12" i="23"/>
  <c r="U12" i="23"/>
  <c r="T12" i="23"/>
  <c r="S12" i="23"/>
  <c r="P12" i="23"/>
  <c r="O12" i="23"/>
  <c r="M12" i="23"/>
  <c r="L12" i="23"/>
  <c r="K12" i="23"/>
  <c r="F12" i="23"/>
  <c r="A12" i="23"/>
  <c r="V11" i="23"/>
  <c r="U11" i="23"/>
  <c r="T11" i="23"/>
  <c r="S11" i="23"/>
  <c r="P11" i="23"/>
  <c r="O11" i="23"/>
  <c r="M11" i="23"/>
  <c r="L11" i="23"/>
  <c r="K11" i="23"/>
  <c r="F11" i="23"/>
  <c r="D11" i="23"/>
  <c r="A11" i="23"/>
  <c r="V10" i="23"/>
  <c r="U10" i="23"/>
  <c r="T10" i="23"/>
  <c r="S10" i="23"/>
  <c r="P10" i="23"/>
  <c r="O10" i="23"/>
  <c r="M10" i="23"/>
  <c r="L10" i="23"/>
  <c r="K10" i="23"/>
  <c r="F10" i="23"/>
  <c r="D10" i="23"/>
  <c r="A10" i="23"/>
  <c r="V9" i="23"/>
  <c r="U9" i="23"/>
  <c r="T9" i="23"/>
  <c r="S9" i="23"/>
  <c r="P9" i="23"/>
  <c r="O9" i="23"/>
  <c r="N9" i="23"/>
  <c r="M9" i="23"/>
  <c r="L9" i="23"/>
  <c r="K9" i="23"/>
  <c r="F9" i="23"/>
  <c r="A9" i="23"/>
  <c r="V8" i="23"/>
  <c r="U8" i="23"/>
  <c r="T8" i="23"/>
  <c r="S8" i="23"/>
  <c r="P8" i="23"/>
  <c r="O8" i="23"/>
  <c r="M8" i="23"/>
  <c r="L8" i="23"/>
  <c r="K8" i="23"/>
  <c r="F8" i="23"/>
  <c r="A8" i="23"/>
  <c r="U7" i="23"/>
  <c r="O7" i="23"/>
  <c r="Q17" i="19"/>
  <c r="Q16" i="19"/>
  <c r="Q18" i="19" s="1"/>
  <c r="Q14" i="19"/>
  <c r="P12" i="19"/>
  <c r="M12" i="19"/>
  <c r="L12" i="19"/>
  <c r="U10" i="19"/>
  <c r="T10" i="19"/>
  <c r="O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A9" i="19"/>
  <c r="V8" i="19"/>
  <c r="U8" i="19"/>
  <c r="T8" i="19"/>
  <c r="S8" i="19"/>
  <c r="P8" i="19"/>
  <c r="O8" i="19"/>
  <c r="M8" i="19"/>
  <c r="L8" i="19"/>
  <c r="K8" i="19"/>
  <c r="F8" i="19"/>
  <c r="D8" i="19"/>
  <c r="V7" i="19"/>
  <c r="U7" i="19"/>
  <c r="T7" i="19"/>
  <c r="S7" i="19"/>
  <c r="P7" i="19"/>
  <c r="O7" i="19"/>
  <c r="M7" i="19"/>
  <c r="L7" i="19"/>
  <c r="K7" i="19"/>
  <c r="F7" i="19"/>
  <c r="D7" i="19"/>
  <c r="A7" i="19"/>
  <c r="V6" i="19"/>
  <c r="U6" i="19"/>
  <c r="T6" i="19"/>
  <c r="S6" i="19"/>
  <c r="P6" i="19"/>
  <c r="O6" i="19"/>
  <c r="M6" i="19"/>
  <c r="L6" i="19"/>
  <c r="K6" i="19"/>
  <c r="F6" i="19"/>
  <c r="D6" i="19"/>
  <c r="F6" i="67"/>
  <c r="P27" i="22"/>
  <c r="M27" i="22"/>
  <c r="L27" i="22"/>
  <c r="U24" i="22"/>
  <c r="T24" i="22"/>
  <c r="O24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A23" i="22"/>
  <c r="V22" i="22"/>
  <c r="U22" i="22"/>
  <c r="T22" i="22"/>
  <c r="S22" i="22"/>
  <c r="P22" i="22"/>
  <c r="O22" i="22"/>
  <c r="M22" i="22"/>
  <c r="L22" i="22"/>
  <c r="K22" i="22"/>
  <c r="F22" i="22"/>
  <c r="A22" i="22"/>
  <c r="V21" i="22"/>
  <c r="U21" i="22"/>
  <c r="T21" i="22"/>
  <c r="S21" i="22"/>
  <c r="P21" i="22"/>
  <c r="O21" i="22"/>
  <c r="M21" i="22"/>
  <c r="L21" i="22"/>
  <c r="K21" i="22"/>
  <c r="F21" i="22"/>
  <c r="A21" i="22"/>
  <c r="V20" i="22"/>
  <c r="U20" i="22"/>
  <c r="T20" i="22"/>
  <c r="S20" i="22"/>
  <c r="P20" i="22"/>
  <c r="O20" i="22"/>
  <c r="M20" i="22"/>
  <c r="L20" i="22"/>
  <c r="K20" i="22"/>
  <c r="F20" i="22"/>
  <c r="A20" i="22"/>
  <c r="V19" i="22"/>
  <c r="U19" i="22"/>
  <c r="T19" i="22"/>
  <c r="S19" i="22"/>
  <c r="P19" i="22"/>
  <c r="O19" i="22"/>
  <c r="M19" i="22"/>
  <c r="L19" i="22"/>
  <c r="K19" i="22"/>
  <c r="F19" i="22"/>
  <c r="A19" i="22"/>
  <c r="V18" i="22"/>
  <c r="U18" i="22"/>
  <c r="T18" i="22"/>
  <c r="S18" i="22"/>
  <c r="P18" i="22"/>
  <c r="O18" i="22"/>
  <c r="M18" i="22"/>
  <c r="L18" i="22"/>
  <c r="K18" i="22"/>
  <c r="F18" i="22"/>
  <c r="A18" i="22"/>
  <c r="V17" i="22"/>
  <c r="U17" i="22"/>
  <c r="T17" i="22"/>
  <c r="S17" i="22"/>
  <c r="P17" i="22"/>
  <c r="O17" i="22"/>
  <c r="M17" i="22"/>
  <c r="L17" i="22"/>
  <c r="K17" i="22"/>
  <c r="F17" i="22"/>
  <c r="A17" i="22"/>
  <c r="V16" i="22"/>
  <c r="U16" i="22"/>
  <c r="T16" i="22"/>
  <c r="S16" i="22"/>
  <c r="P16" i="22"/>
  <c r="O16" i="22"/>
  <c r="M16" i="22"/>
  <c r="L16" i="22"/>
  <c r="K16" i="22"/>
  <c r="F16" i="22"/>
  <c r="A16" i="22"/>
  <c r="V15" i="22"/>
  <c r="U15" i="22"/>
  <c r="T15" i="22"/>
  <c r="S15" i="22"/>
  <c r="P15" i="22"/>
  <c r="O15" i="22"/>
  <c r="M15" i="22"/>
  <c r="L15" i="22"/>
  <c r="K15" i="22"/>
  <c r="F15" i="22"/>
  <c r="A15" i="22"/>
  <c r="V14" i="22"/>
  <c r="U14" i="22"/>
  <c r="T14" i="22"/>
  <c r="S14" i="22"/>
  <c r="P14" i="22"/>
  <c r="O14" i="22"/>
  <c r="M14" i="22"/>
  <c r="L14" i="22"/>
  <c r="K14" i="22"/>
  <c r="F14" i="22"/>
  <c r="A14" i="22"/>
  <c r="V13" i="22"/>
  <c r="U13" i="22"/>
  <c r="T13" i="22"/>
  <c r="S13" i="22"/>
  <c r="P13" i="22"/>
  <c r="O13" i="22"/>
  <c r="M13" i="22"/>
  <c r="L13" i="22"/>
  <c r="K13" i="22"/>
  <c r="F13" i="22"/>
  <c r="A13" i="22"/>
  <c r="V12" i="22"/>
  <c r="U12" i="22"/>
  <c r="T12" i="22"/>
  <c r="S12" i="22"/>
  <c r="P12" i="22"/>
  <c r="O12" i="22"/>
  <c r="M12" i="22"/>
  <c r="L12" i="22"/>
  <c r="K12" i="22"/>
  <c r="F12" i="22"/>
  <c r="A12" i="22"/>
  <c r="V11" i="22"/>
  <c r="U11" i="22"/>
  <c r="T11" i="22"/>
  <c r="S11" i="22"/>
  <c r="P11" i="22"/>
  <c r="O11" i="22"/>
  <c r="M11" i="22"/>
  <c r="L11" i="22"/>
  <c r="K11" i="22"/>
  <c r="F11" i="22"/>
  <c r="A11" i="22"/>
  <c r="V10" i="22"/>
  <c r="U10" i="22"/>
  <c r="T10" i="22"/>
  <c r="S10" i="22"/>
  <c r="P10" i="22"/>
  <c r="O10" i="22"/>
  <c r="M10" i="22"/>
  <c r="L10" i="22"/>
  <c r="K10" i="22"/>
  <c r="F10" i="22"/>
  <c r="A10" i="22"/>
  <c r="V9" i="22"/>
  <c r="U9" i="22"/>
  <c r="T9" i="22"/>
  <c r="S9" i="22"/>
  <c r="P9" i="22"/>
  <c r="O9" i="22"/>
  <c r="M9" i="22"/>
  <c r="L9" i="22"/>
  <c r="K9" i="22"/>
  <c r="F9" i="22"/>
  <c r="A9" i="22"/>
  <c r="V8" i="22"/>
  <c r="U8" i="22"/>
  <c r="T8" i="22"/>
  <c r="S8" i="22"/>
  <c r="P8" i="22"/>
  <c r="O8" i="22"/>
  <c r="M8" i="22"/>
  <c r="L8" i="22"/>
  <c r="K8" i="22"/>
  <c r="F8" i="22"/>
  <c r="A8" i="22"/>
  <c r="V7" i="22"/>
  <c r="U7" i="22"/>
  <c r="T7" i="22"/>
  <c r="S7" i="22"/>
  <c r="P7" i="22"/>
  <c r="O7" i="22"/>
  <c r="M7" i="22"/>
  <c r="L7" i="22"/>
  <c r="K7" i="22"/>
  <c r="F7" i="22"/>
  <c r="A7" i="22"/>
  <c r="U6" i="22"/>
  <c r="T6" i="22"/>
  <c r="O6" i="22"/>
  <c r="F6" i="46"/>
  <c r="Q29" i="20"/>
  <c r="Q30" i="20" s="1"/>
  <c r="Q28" i="20"/>
  <c r="Q26" i="20"/>
  <c r="R25" i="20"/>
  <c r="R23" i="20"/>
  <c r="O18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17" i="20"/>
  <c r="W16" i="20"/>
  <c r="U16" i="20"/>
  <c r="T16" i="20"/>
  <c r="S16" i="20"/>
  <c r="P16" i="20"/>
  <c r="O16" i="20"/>
  <c r="M16" i="20"/>
  <c r="L16" i="20"/>
  <c r="K16" i="20"/>
  <c r="F16" i="20"/>
  <c r="A16" i="20"/>
  <c r="W15" i="20"/>
  <c r="U15" i="20"/>
  <c r="T15" i="20"/>
  <c r="S15" i="20"/>
  <c r="P15" i="20"/>
  <c r="O15" i="20"/>
  <c r="M15" i="20"/>
  <c r="L15" i="20"/>
  <c r="K15" i="20"/>
  <c r="F15" i="20"/>
  <c r="A15" i="20"/>
  <c r="W14" i="20"/>
  <c r="U14" i="20"/>
  <c r="T14" i="20"/>
  <c r="S14" i="20"/>
  <c r="P14" i="20"/>
  <c r="O14" i="20"/>
  <c r="M14" i="20"/>
  <c r="L14" i="20"/>
  <c r="K14" i="20"/>
  <c r="F14" i="20"/>
  <c r="A14" i="20"/>
  <c r="W13" i="20"/>
  <c r="U13" i="20"/>
  <c r="T13" i="20"/>
  <c r="S13" i="20"/>
  <c r="P13" i="20"/>
  <c r="O13" i="20"/>
  <c r="M13" i="20"/>
  <c r="L13" i="20"/>
  <c r="K13" i="20"/>
  <c r="I13" i="20"/>
  <c r="F13" i="20"/>
  <c r="A13" i="20"/>
  <c r="W12" i="20"/>
  <c r="U12" i="20"/>
  <c r="T12" i="20"/>
  <c r="S12" i="20"/>
  <c r="R12" i="20"/>
  <c r="P12" i="20"/>
  <c r="O12" i="20"/>
  <c r="M12" i="20"/>
  <c r="L12" i="20"/>
  <c r="K12" i="20"/>
  <c r="H12" i="20"/>
  <c r="F12" i="20"/>
  <c r="A12" i="20"/>
  <c r="W11" i="20"/>
  <c r="U11" i="20"/>
  <c r="T11" i="20"/>
  <c r="S11" i="20"/>
  <c r="P11" i="20"/>
  <c r="O11" i="20"/>
  <c r="M11" i="20"/>
  <c r="L11" i="20"/>
  <c r="K11" i="20"/>
  <c r="F11" i="20"/>
  <c r="A11" i="20"/>
  <c r="W10" i="20"/>
  <c r="U10" i="20"/>
  <c r="T10" i="20"/>
  <c r="S10" i="20"/>
  <c r="P10" i="20"/>
  <c r="O10" i="20"/>
  <c r="L10" i="20"/>
  <c r="K10" i="20"/>
  <c r="F10" i="20"/>
  <c r="A10" i="20"/>
  <c r="W9" i="20"/>
  <c r="U9" i="20"/>
  <c r="T9" i="20"/>
  <c r="S9" i="20"/>
  <c r="P9" i="20"/>
  <c r="O9" i="20"/>
  <c r="M9" i="20"/>
  <c r="L9" i="20"/>
  <c r="K9" i="20"/>
  <c r="F9" i="20"/>
  <c r="A9" i="20"/>
  <c r="W8" i="20"/>
  <c r="U8" i="20"/>
  <c r="T8" i="20"/>
  <c r="S8" i="20"/>
  <c r="P8" i="20"/>
  <c r="O8" i="20"/>
  <c r="M8" i="20"/>
  <c r="L8" i="20"/>
  <c r="K8" i="20"/>
  <c r="F8" i="20"/>
  <c r="A8" i="20"/>
  <c r="W7" i="20"/>
  <c r="U7" i="20"/>
  <c r="T7" i="20"/>
  <c r="S7" i="20"/>
  <c r="P7" i="20"/>
  <c r="O7" i="20"/>
  <c r="L7" i="20"/>
  <c r="K7" i="20"/>
  <c r="F7" i="20"/>
  <c r="U6" i="20"/>
  <c r="T6" i="20"/>
  <c r="O6" i="20"/>
  <c r="F15" i="66"/>
  <c r="E15" i="66"/>
  <c r="F14" i="66"/>
  <c r="E14" i="66"/>
  <c r="F13" i="66"/>
  <c r="E13" i="66"/>
  <c r="F8" i="66"/>
  <c r="R39" i="7"/>
  <c r="R38" i="7"/>
  <c r="R37" i="7"/>
  <c r="R31" i="7"/>
  <c r="R30" i="7"/>
  <c r="R29" i="7"/>
  <c r="Q27" i="7"/>
  <c r="Q25" i="7"/>
  <c r="P23" i="7"/>
  <c r="M23" i="7"/>
  <c r="U21" i="7"/>
  <c r="T21" i="7"/>
  <c r="O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20" i="7"/>
  <c r="V19" i="7"/>
  <c r="U19" i="7"/>
  <c r="T19" i="7"/>
  <c r="S19" i="7"/>
  <c r="P19" i="7"/>
  <c r="O19" i="7"/>
  <c r="M19" i="7"/>
  <c r="L19" i="7"/>
  <c r="K19" i="7"/>
  <c r="F19" i="7"/>
  <c r="A19" i="7"/>
  <c r="V18" i="7"/>
  <c r="U18" i="7"/>
  <c r="T18" i="7"/>
  <c r="S18" i="7"/>
  <c r="P18" i="7"/>
  <c r="O18" i="7"/>
  <c r="N18" i="7"/>
  <c r="M18" i="7"/>
  <c r="L18" i="7"/>
  <c r="K18" i="7"/>
  <c r="F18" i="7"/>
  <c r="A18" i="7"/>
  <c r="V17" i="7"/>
  <c r="U17" i="7"/>
  <c r="T17" i="7"/>
  <c r="S17" i="7"/>
  <c r="P17" i="7"/>
  <c r="O17" i="7"/>
  <c r="M17" i="7"/>
  <c r="L17" i="7"/>
  <c r="K17" i="7"/>
  <c r="F17" i="7"/>
  <c r="A17" i="7"/>
  <c r="V16" i="7"/>
  <c r="U16" i="7"/>
  <c r="T16" i="7"/>
  <c r="S16" i="7"/>
  <c r="P16" i="7"/>
  <c r="O16" i="7"/>
  <c r="M16" i="7"/>
  <c r="L16" i="7"/>
  <c r="K16" i="7"/>
  <c r="F16" i="7"/>
  <c r="A16" i="7"/>
  <c r="V15" i="7"/>
  <c r="U15" i="7"/>
  <c r="T15" i="7"/>
  <c r="S15" i="7"/>
  <c r="P15" i="7"/>
  <c r="O15" i="7"/>
  <c r="M15" i="7"/>
  <c r="L15" i="7"/>
  <c r="K15" i="7"/>
  <c r="F15" i="7"/>
  <c r="A15" i="7"/>
  <c r="V14" i="7"/>
  <c r="U14" i="7"/>
  <c r="T14" i="7"/>
  <c r="S14" i="7"/>
  <c r="P14" i="7"/>
  <c r="O14" i="7"/>
  <c r="M14" i="7"/>
  <c r="L14" i="7"/>
  <c r="K14" i="7"/>
  <c r="F14" i="7"/>
  <c r="A14" i="7"/>
  <c r="V13" i="7"/>
  <c r="U13" i="7"/>
  <c r="T13" i="7"/>
  <c r="S13" i="7"/>
  <c r="P13" i="7"/>
  <c r="O13" i="7"/>
  <c r="N13" i="7"/>
  <c r="M13" i="7"/>
  <c r="L13" i="7"/>
  <c r="K13" i="7"/>
  <c r="F13" i="7"/>
  <c r="A13" i="7"/>
  <c r="V12" i="7"/>
  <c r="U12" i="7"/>
  <c r="T12" i="7"/>
  <c r="S12" i="7"/>
  <c r="R12" i="7"/>
  <c r="P12" i="7"/>
  <c r="O12" i="7"/>
  <c r="N12" i="7"/>
  <c r="M12" i="7"/>
  <c r="L12" i="7"/>
  <c r="K12" i="7"/>
  <c r="F12" i="7"/>
  <c r="A12" i="7"/>
  <c r="V11" i="7"/>
  <c r="U11" i="7"/>
  <c r="T11" i="7"/>
  <c r="S11" i="7"/>
  <c r="P11" i="7"/>
  <c r="O11" i="7"/>
  <c r="M11" i="7"/>
  <c r="L11" i="7"/>
  <c r="K11" i="7"/>
  <c r="F11" i="7"/>
  <c r="A11" i="7"/>
  <c r="V10" i="7"/>
  <c r="U10" i="7"/>
  <c r="T10" i="7"/>
  <c r="S10" i="7"/>
  <c r="P10" i="7"/>
  <c r="O10" i="7"/>
  <c r="M10" i="7"/>
  <c r="L10" i="7"/>
  <c r="K10" i="7"/>
  <c r="F10" i="7"/>
  <c r="A10" i="7"/>
  <c r="V9" i="7"/>
  <c r="U9" i="7"/>
  <c r="T9" i="7"/>
  <c r="S9" i="7"/>
  <c r="P9" i="7"/>
  <c r="O9" i="7"/>
  <c r="N9" i="7"/>
  <c r="M9" i="7"/>
  <c r="L9" i="7"/>
  <c r="K9" i="7"/>
  <c r="F9" i="7"/>
  <c r="A9" i="7"/>
  <c r="V8" i="7"/>
  <c r="U8" i="7"/>
  <c r="T8" i="7"/>
  <c r="S8" i="7"/>
  <c r="P8" i="7"/>
  <c r="O8" i="7"/>
  <c r="M8" i="7"/>
  <c r="L8" i="7"/>
  <c r="K8" i="7"/>
  <c r="F8" i="7"/>
  <c r="D8" i="7"/>
  <c r="A8" i="7"/>
  <c r="V7" i="7"/>
  <c r="U7" i="7"/>
  <c r="T7" i="7"/>
  <c r="S7" i="7"/>
  <c r="P7" i="7"/>
  <c r="O7" i="7"/>
  <c r="M7" i="7"/>
  <c r="L7" i="7"/>
  <c r="K7" i="7"/>
  <c r="F7" i="7"/>
  <c r="D7" i="7"/>
  <c r="A7" i="7"/>
  <c r="V6" i="7"/>
  <c r="U6" i="7"/>
  <c r="T6" i="7"/>
  <c r="S6" i="7"/>
  <c r="P6" i="7"/>
  <c r="O6" i="7"/>
  <c r="M6" i="7"/>
  <c r="L6" i="7"/>
  <c r="K6" i="7"/>
  <c r="F6" i="7"/>
  <c r="A6" i="7"/>
  <c r="F15" i="45"/>
  <c r="E15" i="45"/>
  <c r="F14" i="45"/>
  <c r="E14" i="45"/>
  <c r="F13" i="45"/>
  <c r="E13" i="45"/>
  <c r="F12" i="45"/>
  <c r="E12" i="45"/>
  <c r="F7" i="45"/>
  <c r="R96" i="18"/>
  <c r="R95" i="18"/>
  <c r="Q90" i="18"/>
  <c r="Q89" i="18"/>
  <c r="R83" i="18"/>
  <c r="Q81" i="18"/>
  <c r="Q79" i="18"/>
  <c r="Q82" i="18" s="1"/>
  <c r="Q76" i="18"/>
  <c r="Q75" i="18"/>
  <c r="Q77" i="18" s="1"/>
  <c r="Q73" i="18"/>
  <c r="Q78" i="18" s="1"/>
  <c r="P71" i="18"/>
  <c r="M71" i="18"/>
  <c r="L71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70" i="18"/>
  <c r="U68" i="18"/>
  <c r="T68" i="18"/>
  <c r="O68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67" i="18"/>
  <c r="W66" i="18"/>
  <c r="U66" i="18"/>
  <c r="T66" i="18"/>
  <c r="S66" i="18"/>
  <c r="P66" i="18"/>
  <c r="O66" i="18"/>
  <c r="M66" i="18"/>
  <c r="L66" i="18"/>
  <c r="K66" i="18"/>
  <c r="F66" i="18"/>
  <c r="A66" i="18"/>
  <c r="W65" i="18"/>
  <c r="U65" i="18"/>
  <c r="T65" i="18"/>
  <c r="S65" i="18"/>
  <c r="P65" i="18"/>
  <c r="O65" i="18"/>
  <c r="M65" i="18"/>
  <c r="L65" i="18"/>
  <c r="K65" i="18"/>
  <c r="F65" i="18"/>
  <c r="A65" i="18"/>
  <c r="W64" i="18"/>
  <c r="U64" i="18"/>
  <c r="T64" i="18"/>
  <c r="S64" i="18"/>
  <c r="P64" i="18"/>
  <c r="O64" i="18"/>
  <c r="M64" i="18"/>
  <c r="L64" i="18"/>
  <c r="K64" i="18"/>
  <c r="F64" i="18"/>
  <c r="A64" i="18"/>
  <c r="W63" i="18"/>
  <c r="U63" i="18"/>
  <c r="T63" i="18"/>
  <c r="S63" i="18"/>
  <c r="P63" i="18"/>
  <c r="O63" i="18"/>
  <c r="M63" i="18"/>
  <c r="L63" i="18"/>
  <c r="K63" i="18"/>
  <c r="F63" i="18"/>
  <c r="A63" i="18"/>
  <c r="W62" i="18"/>
  <c r="U62" i="18"/>
  <c r="T62" i="18"/>
  <c r="S62" i="18"/>
  <c r="P62" i="18"/>
  <c r="O62" i="18"/>
  <c r="M62" i="18"/>
  <c r="L62" i="18"/>
  <c r="K62" i="18"/>
  <c r="F62" i="18"/>
  <c r="D62" i="18"/>
  <c r="A62" i="18"/>
  <c r="W61" i="18"/>
  <c r="U61" i="18"/>
  <c r="T61" i="18"/>
  <c r="S61" i="18"/>
  <c r="P61" i="18"/>
  <c r="O61" i="18"/>
  <c r="M61" i="18"/>
  <c r="L61" i="18"/>
  <c r="K61" i="18"/>
  <c r="F61" i="18"/>
  <c r="D61" i="18"/>
  <c r="A61" i="18"/>
  <c r="W60" i="18"/>
  <c r="U60" i="18"/>
  <c r="T60" i="18"/>
  <c r="S60" i="18"/>
  <c r="P60" i="18"/>
  <c r="O60" i="18"/>
  <c r="M60" i="18"/>
  <c r="L60" i="18"/>
  <c r="K60" i="18"/>
  <c r="F60" i="18"/>
  <c r="D60" i="18"/>
  <c r="A60" i="18"/>
  <c r="W59" i="18"/>
  <c r="U59" i="18"/>
  <c r="T59" i="18"/>
  <c r="S59" i="18"/>
  <c r="P59" i="18"/>
  <c r="O59" i="18"/>
  <c r="M59" i="18"/>
  <c r="L59" i="18"/>
  <c r="K59" i="18"/>
  <c r="F59" i="18"/>
  <c r="A59" i="18"/>
  <c r="W58" i="18"/>
  <c r="U58" i="18"/>
  <c r="T58" i="18"/>
  <c r="S58" i="18"/>
  <c r="P58" i="18"/>
  <c r="O58" i="18"/>
  <c r="M58" i="18"/>
  <c r="L58" i="18"/>
  <c r="K58" i="18"/>
  <c r="F58" i="18"/>
  <c r="D58" i="18"/>
  <c r="A58" i="18"/>
  <c r="W57" i="18"/>
  <c r="U57" i="18"/>
  <c r="T57" i="18"/>
  <c r="S57" i="18"/>
  <c r="P57" i="18"/>
  <c r="O57" i="18"/>
  <c r="M57" i="18"/>
  <c r="L57" i="18"/>
  <c r="K57" i="18"/>
  <c r="F57" i="18"/>
  <c r="D57" i="18"/>
  <c r="U56" i="18"/>
  <c r="T56" i="18"/>
  <c r="O56" i="18"/>
  <c r="U55" i="18"/>
  <c r="O55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54" i="18"/>
  <c r="W53" i="18"/>
  <c r="U53" i="18"/>
  <c r="T53" i="18"/>
  <c r="S53" i="18"/>
  <c r="P53" i="18"/>
  <c r="O53" i="18"/>
  <c r="M53" i="18"/>
  <c r="L53" i="18"/>
  <c r="K53" i="18"/>
  <c r="W52" i="18"/>
  <c r="U52" i="18"/>
  <c r="T52" i="18"/>
  <c r="S52" i="18"/>
  <c r="P52" i="18"/>
  <c r="O52" i="18"/>
  <c r="M52" i="18"/>
  <c r="L52" i="18"/>
  <c r="K52" i="18"/>
  <c r="F52" i="18"/>
  <c r="A52" i="18"/>
  <c r="W51" i="18"/>
  <c r="U51" i="18"/>
  <c r="T51" i="18"/>
  <c r="S51" i="18"/>
  <c r="P51" i="18"/>
  <c r="O51" i="18"/>
  <c r="M51" i="18"/>
  <c r="L51" i="18"/>
  <c r="K51" i="18"/>
  <c r="F51" i="18"/>
  <c r="A51" i="18"/>
  <c r="W50" i="18"/>
  <c r="U50" i="18"/>
  <c r="T50" i="18"/>
  <c r="S50" i="18"/>
  <c r="P50" i="18"/>
  <c r="O50" i="18"/>
  <c r="M50" i="18"/>
  <c r="L50" i="18"/>
  <c r="K50" i="18"/>
  <c r="F50" i="18"/>
  <c r="A50" i="18"/>
  <c r="W49" i="18"/>
  <c r="U49" i="18"/>
  <c r="T49" i="18"/>
  <c r="S49" i="18"/>
  <c r="P49" i="18"/>
  <c r="O49" i="18"/>
  <c r="M49" i="18"/>
  <c r="L49" i="18"/>
  <c r="K49" i="18"/>
  <c r="F49" i="18"/>
  <c r="A49" i="18"/>
  <c r="W48" i="18"/>
  <c r="U48" i="18"/>
  <c r="T48" i="18"/>
  <c r="S48" i="18"/>
  <c r="P48" i="18"/>
  <c r="O48" i="18"/>
  <c r="M48" i="18"/>
  <c r="L48" i="18"/>
  <c r="K48" i="18"/>
  <c r="F48" i="18"/>
  <c r="A48" i="18"/>
  <c r="W47" i="18"/>
  <c r="U47" i="18"/>
  <c r="T47" i="18"/>
  <c r="S47" i="18"/>
  <c r="P47" i="18"/>
  <c r="O47" i="18"/>
  <c r="M47" i="18"/>
  <c r="L47" i="18"/>
  <c r="K47" i="18"/>
  <c r="F47" i="18"/>
  <c r="A47" i="18"/>
  <c r="W46" i="18"/>
  <c r="U46" i="18"/>
  <c r="T46" i="18"/>
  <c r="S46" i="18"/>
  <c r="P46" i="18"/>
  <c r="O46" i="18"/>
  <c r="M46" i="18"/>
  <c r="L46" i="18"/>
  <c r="K46" i="18"/>
  <c r="F46" i="18"/>
  <c r="A46" i="18"/>
  <c r="W45" i="18"/>
  <c r="U45" i="18"/>
  <c r="T45" i="18"/>
  <c r="S45" i="18"/>
  <c r="P45" i="18"/>
  <c r="O45" i="18"/>
  <c r="M45" i="18"/>
  <c r="L45" i="18"/>
  <c r="K45" i="18"/>
  <c r="F45" i="18"/>
  <c r="A45" i="18"/>
  <c r="W44" i="18"/>
  <c r="U44" i="18"/>
  <c r="T44" i="18"/>
  <c r="S44" i="18"/>
  <c r="P44" i="18"/>
  <c r="O44" i="18"/>
  <c r="M44" i="18"/>
  <c r="L44" i="18"/>
  <c r="K44" i="18"/>
  <c r="F44" i="18"/>
  <c r="A44" i="18"/>
  <c r="W43" i="18"/>
  <c r="U43" i="18"/>
  <c r="T43" i="18"/>
  <c r="S43" i="18"/>
  <c r="P43" i="18"/>
  <c r="O43" i="18"/>
  <c r="M43" i="18"/>
  <c r="L43" i="18"/>
  <c r="K43" i="18"/>
  <c r="F43" i="18"/>
  <c r="A43" i="18"/>
  <c r="W42" i="18"/>
  <c r="U42" i="18"/>
  <c r="T42" i="18"/>
  <c r="S42" i="18"/>
  <c r="P42" i="18"/>
  <c r="O42" i="18"/>
  <c r="M42" i="18"/>
  <c r="L42" i="18"/>
  <c r="K42" i="18"/>
  <c r="F42" i="18"/>
  <c r="A42" i="18"/>
  <c r="W41" i="18"/>
  <c r="U41" i="18"/>
  <c r="T41" i="18"/>
  <c r="S41" i="18"/>
  <c r="P41" i="18"/>
  <c r="O41" i="18"/>
  <c r="M41" i="18"/>
  <c r="L41" i="18"/>
  <c r="K41" i="18"/>
  <c r="F41" i="18"/>
  <c r="D41" i="18"/>
  <c r="A41" i="18"/>
  <c r="W40" i="18"/>
  <c r="U40" i="18"/>
  <c r="T40" i="18"/>
  <c r="S40" i="18"/>
  <c r="P40" i="18"/>
  <c r="O40" i="18"/>
  <c r="M40" i="18"/>
  <c r="L40" i="18"/>
  <c r="K40" i="18"/>
  <c r="F40" i="18"/>
  <c r="A40" i="18"/>
  <c r="W39" i="18"/>
  <c r="U39" i="18"/>
  <c r="T39" i="18"/>
  <c r="S39" i="18"/>
  <c r="P39" i="18"/>
  <c r="O39" i="18"/>
  <c r="M39" i="18"/>
  <c r="L39" i="18"/>
  <c r="K39" i="18"/>
  <c r="F39" i="18"/>
  <c r="A39" i="18"/>
  <c r="W38" i="18"/>
  <c r="U38" i="18"/>
  <c r="T38" i="18"/>
  <c r="S38" i="18"/>
  <c r="P38" i="18"/>
  <c r="O38" i="18"/>
  <c r="M38" i="18"/>
  <c r="L38" i="18"/>
  <c r="K38" i="18"/>
  <c r="F38" i="18"/>
  <c r="A38" i="18"/>
  <c r="W37" i="18"/>
  <c r="U37" i="18"/>
  <c r="T37" i="18"/>
  <c r="S37" i="18"/>
  <c r="P37" i="18"/>
  <c r="O37" i="18"/>
  <c r="M37" i="18"/>
  <c r="L37" i="18"/>
  <c r="K37" i="18"/>
  <c r="F37" i="18"/>
  <c r="A37" i="18"/>
  <c r="W36" i="18"/>
  <c r="U36" i="18"/>
  <c r="T36" i="18"/>
  <c r="S36" i="18"/>
  <c r="P36" i="18"/>
  <c r="O36" i="18"/>
  <c r="M36" i="18"/>
  <c r="L36" i="18"/>
  <c r="K36" i="18"/>
  <c r="F36" i="18"/>
  <c r="A36" i="18"/>
  <c r="W35" i="18"/>
  <c r="U35" i="18"/>
  <c r="T35" i="18"/>
  <c r="S35" i="18"/>
  <c r="P35" i="18"/>
  <c r="O35" i="18"/>
  <c r="M35" i="18"/>
  <c r="L35" i="18"/>
  <c r="K35" i="18"/>
  <c r="F35" i="18"/>
  <c r="A35" i="18"/>
  <c r="W34" i="18"/>
  <c r="U34" i="18"/>
  <c r="T34" i="18"/>
  <c r="S34" i="18"/>
  <c r="P34" i="18"/>
  <c r="O34" i="18"/>
  <c r="M34" i="18"/>
  <c r="L34" i="18"/>
  <c r="K34" i="18"/>
  <c r="F34" i="18"/>
  <c r="A34" i="18"/>
  <c r="W33" i="18"/>
  <c r="U33" i="18"/>
  <c r="T33" i="18"/>
  <c r="S33" i="18"/>
  <c r="P33" i="18"/>
  <c r="O33" i="18"/>
  <c r="M33" i="18"/>
  <c r="L33" i="18"/>
  <c r="K33" i="18"/>
  <c r="F33" i="18"/>
  <c r="A33" i="18"/>
  <c r="W32" i="18"/>
  <c r="U32" i="18"/>
  <c r="T32" i="18"/>
  <c r="S32" i="18"/>
  <c r="P32" i="18"/>
  <c r="O32" i="18"/>
  <c r="M32" i="18"/>
  <c r="L32" i="18"/>
  <c r="K32" i="18"/>
  <c r="F32" i="18"/>
  <c r="A32" i="18"/>
  <c r="W31" i="18"/>
  <c r="U31" i="18"/>
  <c r="T31" i="18"/>
  <c r="S31" i="18"/>
  <c r="P31" i="18"/>
  <c r="O31" i="18"/>
  <c r="M31" i="18"/>
  <c r="L31" i="18"/>
  <c r="K31" i="18"/>
  <c r="F31" i="18"/>
  <c r="U30" i="18"/>
  <c r="T30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28" i="18"/>
  <c r="W27" i="18"/>
  <c r="U27" i="18"/>
  <c r="T27" i="18"/>
  <c r="S27" i="18"/>
  <c r="P27" i="18"/>
  <c r="O27" i="18"/>
  <c r="M27" i="18"/>
  <c r="L27" i="18"/>
  <c r="K27" i="18"/>
  <c r="F27" i="18"/>
  <c r="A27" i="18"/>
  <c r="W26" i="18"/>
  <c r="U26" i="18"/>
  <c r="T26" i="18"/>
  <c r="S26" i="18"/>
  <c r="P26" i="18"/>
  <c r="O26" i="18"/>
  <c r="M26" i="18"/>
  <c r="L26" i="18"/>
  <c r="K26" i="18"/>
  <c r="F26" i="18"/>
  <c r="A26" i="18"/>
  <c r="W25" i="18"/>
  <c r="V25" i="18"/>
  <c r="U25" i="18"/>
  <c r="T25" i="18"/>
  <c r="S25" i="18"/>
  <c r="P25" i="18"/>
  <c r="O25" i="18"/>
  <c r="N25" i="18"/>
  <c r="M25" i="18"/>
  <c r="L25" i="18"/>
  <c r="K25" i="18"/>
  <c r="F25" i="18"/>
  <c r="A25" i="18"/>
  <c r="W24" i="18"/>
  <c r="U24" i="18"/>
  <c r="T24" i="18"/>
  <c r="S24" i="18"/>
  <c r="P24" i="18"/>
  <c r="O24" i="18"/>
  <c r="M24" i="18"/>
  <c r="L24" i="18"/>
  <c r="K24" i="18"/>
  <c r="F24" i="18"/>
  <c r="A24" i="18"/>
  <c r="W23" i="18"/>
  <c r="U23" i="18"/>
  <c r="T23" i="18"/>
  <c r="S23" i="18"/>
  <c r="P23" i="18"/>
  <c r="O23" i="18"/>
  <c r="M23" i="18"/>
  <c r="L23" i="18"/>
  <c r="K23" i="18"/>
  <c r="F23" i="18"/>
  <c r="A23" i="18"/>
  <c r="W22" i="18"/>
  <c r="U22" i="18"/>
  <c r="T22" i="18"/>
  <c r="S22" i="18"/>
  <c r="P22" i="18"/>
  <c r="O22" i="18"/>
  <c r="M22" i="18"/>
  <c r="L22" i="18"/>
  <c r="K22" i="18"/>
  <c r="F22" i="18"/>
  <c r="A22" i="18"/>
  <c r="W21" i="18"/>
  <c r="U21" i="18"/>
  <c r="T21" i="18"/>
  <c r="S21" i="18"/>
  <c r="P21" i="18"/>
  <c r="O21" i="18"/>
  <c r="M21" i="18"/>
  <c r="L21" i="18"/>
  <c r="K21" i="18"/>
  <c r="F21" i="18"/>
  <c r="A21" i="18"/>
  <c r="W20" i="18"/>
  <c r="U20" i="18"/>
  <c r="T20" i="18"/>
  <c r="S20" i="18"/>
  <c r="P20" i="18"/>
  <c r="O20" i="18"/>
  <c r="N20" i="18"/>
  <c r="M20" i="18"/>
  <c r="L20" i="18"/>
  <c r="K20" i="18"/>
  <c r="F20" i="18"/>
  <c r="A20" i="18"/>
  <c r="W19" i="18"/>
  <c r="U19" i="18"/>
  <c r="T19" i="18"/>
  <c r="S19" i="18"/>
  <c r="P19" i="18"/>
  <c r="O19" i="18"/>
  <c r="N19" i="18"/>
  <c r="M19" i="18"/>
  <c r="L19" i="18"/>
  <c r="K19" i="18"/>
  <c r="F19" i="18"/>
  <c r="A19" i="18"/>
  <c r="W18" i="18"/>
  <c r="U18" i="18"/>
  <c r="T18" i="18"/>
  <c r="S18" i="18"/>
  <c r="P18" i="18"/>
  <c r="O18" i="18"/>
  <c r="M18" i="18"/>
  <c r="L18" i="18"/>
  <c r="K18" i="18"/>
  <c r="F18" i="18"/>
  <c r="A18" i="18"/>
  <c r="W17" i="18"/>
  <c r="U17" i="18"/>
  <c r="T17" i="18"/>
  <c r="S17" i="18"/>
  <c r="P17" i="18"/>
  <c r="O17" i="18"/>
  <c r="N17" i="18"/>
  <c r="M17" i="18"/>
  <c r="L17" i="18"/>
  <c r="K17" i="18"/>
  <c r="F17" i="18"/>
  <c r="A17" i="18"/>
  <c r="W16" i="18"/>
  <c r="U16" i="18"/>
  <c r="T16" i="18"/>
  <c r="S16" i="18"/>
  <c r="P16" i="18"/>
  <c r="O16" i="18"/>
  <c r="N16" i="18"/>
  <c r="M16" i="18"/>
  <c r="L16" i="18"/>
  <c r="K16" i="18"/>
  <c r="F16" i="18"/>
  <c r="A16" i="18"/>
  <c r="W15" i="18"/>
  <c r="U15" i="18"/>
  <c r="T15" i="18"/>
  <c r="S15" i="18"/>
  <c r="P15" i="18"/>
  <c r="O15" i="18"/>
  <c r="N15" i="18"/>
  <c r="M15" i="18"/>
  <c r="L15" i="18"/>
  <c r="K15" i="18"/>
  <c r="F15" i="18"/>
  <c r="A15" i="18"/>
  <c r="W14" i="18"/>
  <c r="U14" i="18"/>
  <c r="T14" i="18"/>
  <c r="S14" i="18"/>
  <c r="P14" i="18"/>
  <c r="O14" i="18"/>
  <c r="N14" i="18"/>
  <c r="M14" i="18"/>
  <c r="L14" i="18"/>
  <c r="K14" i="18"/>
  <c r="F14" i="18"/>
  <c r="A14" i="18"/>
  <c r="W13" i="18"/>
  <c r="U13" i="18"/>
  <c r="T13" i="18"/>
  <c r="S13" i="18"/>
  <c r="Q13" i="18"/>
  <c r="P13" i="18"/>
  <c r="O13" i="18"/>
  <c r="N13" i="18"/>
  <c r="M13" i="18"/>
  <c r="L13" i="18"/>
  <c r="K13" i="18"/>
  <c r="F13" i="18"/>
  <c r="A13" i="18"/>
  <c r="W12" i="18"/>
  <c r="U12" i="18"/>
  <c r="T12" i="18"/>
  <c r="S12" i="18"/>
  <c r="P12" i="18"/>
  <c r="O12" i="18"/>
  <c r="M12" i="18"/>
  <c r="L12" i="18"/>
  <c r="K12" i="18"/>
  <c r="F12" i="18"/>
  <c r="D12" i="18"/>
  <c r="A12" i="18"/>
  <c r="W11" i="18"/>
  <c r="U11" i="18"/>
  <c r="T11" i="18"/>
  <c r="S11" i="18"/>
  <c r="P11" i="18"/>
  <c r="O11" i="18"/>
  <c r="M11" i="18"/>
  <c r="L11" i="18"/>
  <c r="K11" i="18"/>
  <c r="F11" i="18"/>
  <c r="D11" i="18"/>
  <c r="A11" i="18"/>
  <c r="W10" i="18"/>
  <c r="U10" i="18"/>
  <c r="T10" i="18"/>
  <c r="S10" i="18"/>
  <c r="P10" i="18"/>
  <c r="O10" i="18"/>
  <c r="N10" i="18"/>
  <c r="M10" i="18"/>
  <c r="L10" i="18"/>
  <c r="K10" i="18"/>
  <c r="F10" i="18"/>
  <c r="A10" i="18"/>
  <c r="W9" i="18"/>
  <c r="U9" i="18"/>
  <c r="T9" i="18"/>
  <c r="S9" i="18"/>
  <c r="P9" i="18"/>
  <c r="O9" i="18"/>
  <c r="M9" i="18"/>
  <c r="L9" i="18"/>
  <c r="K9" i="18"/>
  <c r="F9" i="18"/>
  <c r="A9" i="18"/>
  <c r="W8" i="18"/>
  <c r="U8" i="18"/>
  <c r="T8" i="18"/>
  <c r="S8" i="18"/>
  <c r="P8" i="18"/>
  <c r="O8" i="18"/>
  <c r="N8" i="18"/>
  <c r="M8" i="18"/>
  <c r="L8" i="18"/>
  <c r="K8" i="18"/>
  <c r="F8" i="18"/>
  <c r="A8" i="18"/>
  <c r="W7" i="18"/>
  <c r="U7" i="18"/>
  <c r="T7" i="18"/>
  <c r="S7" i="18"/>
  <c r="P7" i="18"/>
  <c r="O7" i="18"/>
  <c r="N7" i="18"/>
  <c r="M7" i="18"/>
  <c r="L7" i="18"/>
  <c r="K7" i="18"/>
  <c r="F7" i="18"/>
  <c r="F28" i="44"/>
  <c r="F23" i="44"/>
  <c r="F15" i="44"/>
  <c r="E15" i="44"/>
  <c r="F14" i="44"/>
  <c r="E14" i="44"/>
  <c r="F13" i="44"/>
  <c r="E13" i="44"/>
  <c r="F12" i="44"/>
  <c r="E12" i="44"/>
  <c r="F7" i="44"/>
  <c r="R60" i="17"/>
  <c r="R55" i="17"/>
  <c r="R54" i="17"/>
  <c r="R56" i="17" s="1"/>
  <c r="Q53" i="17"/>
  <c r="Q52" i="17"/>
  <c r="Q51" i="17"/>
  <c r="Q49" i="17"/>
  <c r="P47" i="17"/>
  <c r="M47" i="17"/>
  <c r="L47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45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43" i="17"/>
  <c r="W42" i="17"/>
  <c r="U42" i="17"/>
  <c r="S42" i="17"/>
  <c r="P42" i="17"/>
  <c r="O42" i="17"/>
  <c r="M42" i="17"/>
  <c r="L42" i="17"/>
  <c r="K42" i="17"/>
  <c r="F42" i="17"/>
  <c r="A42" i="17"/>
  <c r="W41" i="17"/>
  <c r="U41" i="17"/>
  <c r="P41" i="17"/>
  <c r="O41" i="17"/>
  <c r="M41" i="17"/>
  <c r="L41" i="17"/>
  <c r="K41" i="17"/>
  <c r="F41" i="17"/>
  <c r="A41" i="17"/>
  <c r="W40" i="17"/>
  <c r="U40" i="17"/>
  <c r="P40" i="17"/>
  <c r="O40" i="17"/>
  <c r="M40" i="17"/>
  <c r="L40" i="17"/>
  <c r="K40" i="17"/>
  <c r="F40" i="17"/>
  <c r="A40" i="17"/>
  <c r="W39" i="17"/>
  <c r="U39" i="17"/>
  <c r="T39" i="17"/>
  <c r="S39" i="17"/>
  <c r="P39" i="17"/>
  <c r="O39" i="17"/>
  <c r="M39" i="17"/>
  <c r="L39" i="17"/>
  <c r="K39" i="17"/>
  <c r="F39" i="17"/>
  <c r="D39" i="17"/>
  <c r="A39" i="17"/>
  <c r="W38" i="17"/>
  <c r="U38" i="17"/>
  <c r="T38" i="17"/>
  <c r="S38" i="17"/>
  <c r="P38" i="17"/>
  <c r="O38" i="17"/>
  <c r="M38" i="17"/>
  <c r="L38" i="17"/>
  <c r="K38" i="17"/>
  <c r="F38" i="17"/>
  <c r="A38" i="17"/>
  <c r="W37" i="17"/>
  <c r="U37" i="17"/>
  <c r="T37" i="17"/>
  <c r="S37" i="17"/>
  <c r="P37" i="17"/>
  <c r="O37" i="17"/>
  <c r="M37" i="17"/>
  <c r="L37" i="17"/>
  <c r="K37" i="17"/>
  <c r="F37" i="17"/>
  <c r="A37" i="17"/>
  <c r="W36" i="17"/>
  <c r="U36" i="17"/>
  <c r="T36" i="17"/>
  <c r="S36" i="17"/>
  <c r="P36" i="17"/>
  <c r="O36" i="17"/>
  <c r="M36" i="17"/>
  <c r="L36" i="17"/>
  <c r="K36" i="17"/>
  <c r="F36" i="17"/>
  <c r="A36" i="17"/>
  <c r="W35" i="17"/>
  <c r="U35" i="17"/>
  <c r="T35" i="17"/>
  <c r="S35" i="17"/>
  <c r="P35" i="17"/>
  <c r="O35" i="17"/>
  <c r="M35" i="17"/>
  <c r="L35" i="17"/>
  <c r="K35" i="17"/>
  <c r="F35" i="17"/>
  <c r="A35" i="17"/>
  <c r="W34" i="17"/>
  <c r="U34" i="17"/>
  <c r="T34" i="17"/>
  <c r="S34" i="17"/>
  <c r="P34" i="17"/>
  <c r="O34" i="17"/>
  <c r="N34" i="17"/>
  <c r="M34" i="17"/>
  <c r="L34" i="17"/>
  <c r="K34" i="17"/>
  <c r="F34" i="17"/>
  <c r="A34" i="17"/>
  <c r="W33" i="17"/>
  <c r="U33" i="17"/>
  <c r="T33" i="17"/>
  <c r="S33" i="17"/>
  <c r="P33" i="17"/>
  <c r="O33" i="17"/>
  <c r="M33" i="17"/>
  <c r="L33" i="17"/>
  <c r="K33" i="17"/>
  <c r="F33" i="17"/>
  <c r="A33" i="17"/>
  <c r="W32" i="17"/>
  <c r="U32" i="17"/>
  <c r="T32" i="17"/>
  <c r="S32" i="17"/>
  <c r="P32" i="17"/>
  <c r="O32" i="17"/>
  <c r="M32" i="17"/>
  <c r="L32" i="17"/>
  <c r="K32" i="17"/>
  <c r="F32" i="17"/>
  <c r="A32" i="17"/>
  <c r="W31" i="17"/>
  <c r="U31" i="17"/>
  <c r="T31" i="17"/>
  <c r="S31" i="17"/>
  <c r="P31" i="17"/>
  <c r="O31" i="17"/>
  <c r="M31" i="17"/>
  <c r="L31" i="17"/>
  <c r="K31" i="17"/>
  <c r="F31" i="17"/>
  <c r="A31" i="17"/>
  <c r="W30" i="17"/>
  <c r="U30" i="17"/>
  <c r="T30" i="17"/>
  <c r="S30" i="17"/>
  <c r="P30" i="17"/>
  <c r="O30" i="17"/>
  <c r="M30" i="17"/>
  <c r="L30" i="17"/>
  <c r="K30" i="17"/>
  <c r="F30" i="17"/>
  <c r="D30" i="17"/>
  <c r="A30" i="17"/>
  <c r="W29" i="17"/>
  <c r="U29" i="17"/>
  <c r="T29" i="17"/>
  <c r="S29" i="17"/>
  <c r="P29" i="17"/>
  <c r="O29" i="17"/>
  <c r="M29" i="17"/>
  <c r="L29" i="17"/>
  <c r="K29" i="17"/>
  <c r="F29" i="17"/>
  <c r="A29" i="17"/>
  <c r="W28" i="17"/>
  <c r="U28" i="17"/>
  <c r="T28" i="17"/>
  <c r="S28" i="17"/>
  <c r="P28" i="17"/>
  <c r="O28" i="17"/>
  <c r="N28" i="17"/>
  <c r="M28" i="17"/>
  <c r="L28" i="17"/>
  <c r="K28" i="17"/>
  <c r="F28" i="17"/>
  <c r="A28" i="17"/>
  <c r="U27" i="17"/>
  <c r="T27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25" i="17"/>
  <c r="W24" i="17"/>
  <c r="U24" i="17"/>
  <c r="T24" i="17"/>
  <c r="S24" i="17"/>
  <c r="Q24" i="17"/>
  <c r="P24" i="17"/>
  <c r="O24" i="17"/>
  <c r="M24" i="17"/>
  <c r="L24" i="17"/>
  <c r="K24" i="17"/>
  <c r="F24" i="17"/>
  <c r="A24" i="17"/>
  <c r="W23" i="17"/>
  <c r="U23" i="17"/>
  <c r="T23" i="17"/>
  <c r="S23" i="17"/>
  <c r="Q23" i="17"/>
  <c r="P23" i="17"/>
  <c r="O23" i="17"/>
  <c r="M23" i="17"/>
  <c r="L23" i="17"/>
  <c r="K23" i="17"/>
  <c r="F23" i="17"/>
  <c r="A23" i="17"/>
  <c r="W22" i="17"/>
  <c r="U22" i="17"/>
  <c r="T22" i="17"/>
  <c r="S22" i="17"/>
  <c r="Q22" i="17"/>
  <c r="P22" i="17"/>
  <c r="O22" i="17"/>
  <c r="M22" i="17"/>
  <c r="L22" i="17"/>
  <c r="K22" i="17"/>
  <c r="F22" i="17"/>
  <c r="A22" i="17"/>
  <c r="W21" i="17"/>
  <c r="U21" i="17"/>
  <c r="T21" i="17"/>
  <c r="S21" i="17"/>
  <c r="Q21" i="17"/>
  <c r="P21" i="17"/>
  <c r="O21" i="17"/>
  <c r="M21" i="17"/>
  <c r="L21" i="17"/>
  <c r="K21" i="17"/>
  <c r="F21" i="17"/>
  <c r="A21" i="17"/>
  <c r="W20" i="17"/>
  <c r="U20" i="17"/>
  <c r="T20" i="17"/>
  <c r="S20" i="17"/>
  <c r="P20" i="17"/>
  <c r="O20" i="17"/>
  <c r="M20" i="17"/>
  <c r="L20" i="17"/>
  <c r="K20" i="17"/>
  <c r="F20" i="17"/>
  <c r="A20" i="17"/>
  <c r="W19" i="17"/>
  <c r="U19" i="17"/>
  <c r="T19" i="17"/>
  <c r="S19" i="17"/>
  <c r="Q19" i="17"/>
  <c r="P19" i="17"/>
  <c r="O19" i="17"/>
  <c r="M19" i="17"/>
  <c r="L19" i="17"/>
  <c r="K19" i="17"/>
  <c r="F19" i="17"/>
  <c r="A19" i="17"/>
  <c r="W18" i="17"/>
  <c r="U18" i="17"/>
  <c r="T18" i="17"/>
  <c r="S18" i="17"/>
  <c r="Q18" i="17"/>
  <c r="P18" i="17"/>
  <c r="O18" i="17"/>
  <c r="M18" i="17"/>
  <c r="L18" i="17"/>
  <c r="K18" i="17"/>
  <c r="F18" i="17"/>
  <c r="A18" i="17"/>
  <c r="W17" i="17"/>
  <c r="U17" i="17"/>
  <c r="T17" i="17"/>
  <c r="S17" i="17"/>
  <c r="Q17" i="17"/>
  <c r="P17" i="17"/>
  <c r="O17" i="17"/>
  <c r="M17" i="17"/>
  <c r="L17" i="17"/>
  <c r="K17" i="17"/>
  <c r="G17" i="17"/>
  <c r="F17" i="17"/>
  <c r="A17" i="17"/>
  <c r="W16" i="17"/>
  <c r="U16" i="17"/>
  <c r="T16" i="17"/>
  <c r="S16" i="17"/>
  <c r="Q16" i="17"/>
  <c r="P16" i="17"/>
  <c r="O16" i="17"/>
  <c r="M16" i="17"/>
  <c r="L16" i="17"/>
  <c r="K16" i="17"/>
  <c r="F16" i="17"/>
  <c r="A16" i="17"/>
  <c r="W15" i="17"/>
  <c r="U15" i="17"/>
  <c r="T15" i="17"/>
  <c r="S15" i="17"/>
  <c r="Q15" i="17"/>
  <c r="P15" i="17"/>
  <c r="O15" i="17"/>
  <c r="M15" i="17"/>
  <c r="L15" i="17"/>
  <c r="K15" i="17"/>
  <c r="F15" i="17"/>
  <c r="A15" i="17"/>
  <c r="W14" i="17"/>
  <c r="U14" i="17"/>
  <c r="T14" i="17"/>
  <c r="S14" i="17"/>
  <c r="P14" i="17"/>
  <c r="O14" i="17"/>
  <c r="M14" i="17"/>
  <c r="L14" i="17"/>
  <c r="K14" i="17"/>
  <c r="F14" i="17"/>
  <c r="A14" i="17"/>
  <c r="W13" i="17"/>
  <c r="U13" i="17"/>
  <c r="T13" i="17"/>
  <c r="S13" i="17"/>
  <c r="P13" i="17"/>
  <c r="O13" i="17"/>
  <c r="M13" i="17"/>
  <c r="L13" i="17"/>
  <c r="K13" i="17"/>
  <c r="F13" i="17"/>
  <c r="A13" i="17"/>
  <c r="W12" i="17"/>
  <c r="U12" i="17"/>
  <c r="T12" i="17"/>
  <c r="S12" i="17"/>
  <c r="Q12" i="17"/>
  <c r="P12" i="17"/>
  <c r="O12" i="17"/>
  <c r="M12" i="17"/>
  <c r="L12" i="17"/>
  <c r="K12" i="17"/>
  <c r="F12" i="17"/>
  <c r="A12" i="17"/>
  <c r="W11" i="17"/>
  <c r="U11" i="17"/>
  <c r="T11" i="17"/>
  <c r="S11" i="17"/>
  <c r="P11" i="17"/>
  <c r="O11" i="17"/>
  <c r="M11" i="17"/>
  <c r="L11" i="17"/>
  <c r="K11" i="17"/>
  <c r="F11" i="17"/>
  <c r="A11" i="17"/>
  <c r="W10" i="17"/>
  <c r="U10" i="17"/>
  <c r="T10" i="17"/>
  <c r="S10" i="17"/>
  <c r="Q10" i="17"/>
  <c r="P10" i="17"/>
  <c r="O10" i="17"/>
  <c r="M10" i="17"/>
  <c r="L10" i="17"/>
  <c r="K10" i="17"/>
  <c r="F10" i="17"/>
  <c r="A10" i="17"/>
  <c r="Y9" i="17"/>
  <c r="W9" i="17"/>
  <c r="U9" i="17"/>
  <c r="T9" i="17"/>
  <c r="S9" i="17"/>
  <c r="P9" i="17"/>
  <c r="O9" i="17"/>
  <c r="N9" i="17"/>
  <c r="M9" i="17"/>
  <c r="L9" i="17"/>
  <c r="K9" i="17"/>
  <c r="G9" i="17"/>
  <c r="F9" i="17"/>
  <c r="A9" i="17"/>
  <c r="W8" i="17"/>
  <c r="U8" i="17"/>
  <c r="T8" i="17"/>
  <c r="S8" i="17"/>
  <c r="Q8" i="17"/>
  <c r="P8" i="17"/>
  <c r="O8" i="17"/>
  <c r="M8" i="17"/>
  <c r="L8" i="17"/>
  <c r="K8" i="17"/>
  <c r="F8" i="17"/>
  <c r="A8" i="17"/>
  <c r="W7" i="17"/>
  <c r="U7" i="17"/>
  <c r="T7" i="17"/>
  <c r="S7" i="17"/>
  <c r="Q7" i="17"/>
  <c r="P7" i="17"/>
  <c r="O7" i="17"/>
  <c r="M7" i="17"/>
  <c r="L7" i="17"/>
  <c r="K7" i="17"/>
  <c r="F7" i="17"/>
  <c r="A7" i="17"/>
  <c r="F16" i="64"/>
  <c r="E16" i="64"/>
  <c r="F15" i="64"/>
  <c r="E15" i="64"/>
  <c r="F14" i="64"/>
  <c r="E14" i="64"/>
  <c r="F9" i="64"/>
  <c r="F7" i="64"/>
  <c r="Q24" i="16"/>
  <c r="Q23" i="16"/>
  <c r="Q25" i="16" s="1"/>
  <c r="R21" i="16"/>
  <c r="R18" i="16"/>
  <c r="Q16" i="16"/>
  <c r="P14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A12" i="16"/>
  <c r="S11" i="16"/>
  <c r="M11" i="16"/>
  <c r="F11" i="16"/>
  <c r="W10" i="16"/>
  <c r="U10" i="16"/>
  <c r="T10" i="16"/>
  <c r="S10" i="16"/>
  <c r="P10" i="16"/>
  <c r="O10" i="16"/>
  <c r="M10" i="16"/>
  <c r="L10" i="16"/>
  <c r="K10" i="16"/>
  <c r="F10" i="16"/>
  <c r="A10" i="16"/>
  <c r="W9" i="16"/>
  <c r="U9" i="16"/>
  <c r="T9" i="16"/>
  <c r="S9" i="16"/>
  <c r="P9" i="16"/>
  <c r="O9" i="16"/>
  <c r="M9" i="16"/>
  <c r="L9" i="16"/>
  <c r="K9" i="16"/>
  <c r="F9" i="16"/>
  <c r="A9" i="16"/>
  <c r="W8" i="16"/>
  <c r="U8" i="16"/>
  <c r="T8" i="16"/>
  <c r="S8" i="16"/>
  <c r="R8" i="16"/>
  <c r="Q8" i="16"/>
  <c r="P8" i="16"/>
  <c r="O8" i="16"/>
  <c r="M8" i="16"/>
  <c r="L8" i="16"/>
  <c r="K8" i="16"/>
  <c r="F8" i="16"/>
  <c r="D8" i="16"/>
  <c r="F14" i="42"/>
  <c r="E14" i="42"/>
  <c r="F13" i="42"/>
  <c r="E13" i="42"/>
  <c r="F8" i="42"/>
  <c r="F6" i="42"/>
  <c r="U109" i="15"/>
  <c r="U108" i="15"/>
  <c r="R103" i="15"/>
  <c r="R99" i="15"/>
  <c r="Q99" i="15"/>
  <c r="R98" i="15"/>
  <c r="Q98" i="15"/>
  <c r="Q100" i="15" s="1"/>
  <c r="R96" i="15"/>
  <c r="R92" i="15"/>
  <c r="R91" i="15"/>
  <c r="R90" i="15"/>
  <c r="R88" i="15"/>
  <c r="S88" i="15" s="1"/>
  <c r="Q86" i="15"/>
  <c r="P84" i="15"/>
  <c r="M84" i="15"/>
  <c r="L84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82" i="15"/>
  <c r="W81" i="15"/>
  <c r="U81" i="15"/>
  <c r="T81" i="15"/>
  <c r="S81" i="15"/>
  <c r="P81" i="15"/>
  <c r="O81" i="15"/>
  <c r="N81" i="15"/>
  <c r="M81" i="15"/>
  <c r="L81" i="15"/>
  <c r="K81" i="15"/>
  <c r="F81" i="15"/>
  <c r="D81" i="15"/>
  <c r="A81" i="15"/>
  <c r="W80" i="15"/>
  <c r="U80" i="15"/>
  <c r="T80" i="15"/>
  <c r="S80" i="15"/>
  <c r="P80" i="15"/>
  <c r="O80" i="15"/>
  <c r="M80" i="15"/>
  <c r="L80" i="15"/>
  <c r="K80" i="15"/>
  <c r="F80" i="15"/>
  <c r="D80" i="15"/>
  <c r="A80" i="15"/>
  <c r="W79" i="15"/>
  <c r="U79" i="15"/>
  <c r="T79" i="15"/>
  <c r="S79" i="15"/>
  <c r="P79" i="15"/>
  <c r="O79" i="15"/>
  <c r="N79" i="15"/>
  <c r="M79" i="15"/>
  <c r="L79" i="15"/>
  <c r="K79" i="15"/>
  <c r="F79" i="15"/>
  <c r="A79" i="15"/>
  <c r="W78" i="15"/>
  <c r="U78" i="15"/>
  <c r="T78" i="15"/>
  <c r="S78" i="15"/>
  <c r="P78" i="15"/>
  <c r="O78" i="15"/>
  <c r="M78" i="15"/>
  <c r="L78" i="15"/>
  <c r="K78" i="15"/>
  <c r="F78" i="15"/>
  <c r="A78" i="15"/>
  <c r="W77" i="15"/>
  <c r="U77" i="15"/>
  <c r="T77" i="15"/>
  <c r="S77" i="15"/>
  <c r="P77" i="15"/>
  <c r="O77" i="15"/>
  <c r="N77" i="15"/>
  <c r="M77" i="15"/>
  <c r="L77" i="15"/>
  <c r="K77" i="15"/>
  <c r="F77" i="15"/>
  <c r="A77" i="15"/>
  <c r="W76" i="15"/>
  <c r="U76" i="15"/>
  <c r="T76" i="15"/>
  <c r="S76" i="15"/>
  <c r="P76" i="15"/>
  <c r="O76" i="15"/>
  <c r="M76" i="15"/>
  <c r="L76" i="15"/>
  <c r="K76" i="15"/>
  <c r="F76" i="15"/>
  <c r="A76" i="15"/>
  <c r="W75" i="15"/>
  <c r="U75" i="15"/>
  <c r="T75" i="15"/>
  <c r="S75" i="15"/>
  <c r="P75" i="15"/>
  <c r="O75" i="15"/>
  <c r="M75" i="15"/>
  <c r="L75" i="15"/>
  <c r="K75" i="15"/>
  <c r="F75" i="15"/>
  <c r="A75" i="15"/>
  <c r="W74" i="15"/>
  <c r="U74" i="15"/>
  <c r="T74" i="15"/>
  <c r="S74" i="15"/>
  <c r="P74" i="15"/>
  <c r="O74" i="15"/>
  <c r="M74" i="15"/>
  <c r="L74" i="15"/>
  <c r="K74" i="15"/>
  <c r="F74" i="15"/>
  <c r="A74" i="15"/>
  <c r="W73" i="15"/>
  <c r="U73" i="15"/>
  <c r="T73" i="15"/>
  <c r="S73" i="15"/>
  <c r="P73" i="15"/>
  <c r="O73" i="15"/>
  <c r="M73" i="15"/>
  <c r="L73" i="15"/>
  <c r="K73" i="15"/>
  <c r="F73" i="15"/>
  <c r="A73" i="15"/>
  <c r="W72" i="15"/>
  <c r="U72" i="15"/>
  <c r="T72" i="15"/>
  <c r="S72" i="15"/>
  <c r="R72" i="15"/>
  <c r="P72" i="15"/>
  <c r="O72" i="15"/>
  <c r="M72" i="15"/>
  <c r="L72" i="15"/>
  <c r="K72" i="15"/>
  <c r="F72" i="15"/>
  <c r="A72" i="15"/>
  <c r="W71" i="15"/>
  <c r="U71" i="15"/>
  <c r="T71" i="15"/>
  <c r="S71" i="15"/>
  <c r="P71" i="15"/>
  <c r="O71" i="15"/>
  <c r="M71" i="15"/>
  <c r="L71" i="15"/>
  <c r="K71" i="15"/>
  <c r="F71" i="15"/>
  <c r="A71" i="15"/>
  <c r="W70" i="15"/>
  <c r="U70" i="15"/>
  <c r="T70" i="15"/>
  <c r="S70" i="15"/>
  <c r="R70" i="15"/>
  <c r="P70" i="15"/>
  <c r="O70" i="15"/>
  <c r="M70" i="15"/>
  <c r="L70" i="15"/>
  <c r="K70" i="15"/>
  <c r="F70" i="15"/>
  <c r="A70" i="15"/>
  <c r="W69" i="15"/>
  <c r="U69" i="15"/>
  <c r="T69" i="15"/>
  <c r="S69" i="15"/>
  <c r="P69" i="15"/>
  <c r="O69" i="15"/>
  <c r="M69" i="15"/>
  <c r="L69" i="15"/>
  <c r="K69" i="15"/>
  <c r="F69" i="15"/>
  <c r="A69" i="15"/>
  <c r="W68" i="15"/>
  <c r="U68" i="15"/>
  <c r="T68" i="15"/>
  <c r="S68" i="15"/>
  <c r="P68" i="15"/>
  <c r="O68" i="15"/>
  <c r="N68" i="15"/>
  <c r="M68" i="15"/>
  <c r="L68" i="15"/>
  <c r="K68" i="15"/>
  <c r="F68" i="15"/>
  <c r="A68" i="15"/>
  <c r="W67" i="15"/>
  <c r="U67" i="15"/>
  <c r="T67" i="15"/>
  <c r="S67" i="15"/>
  <c r="R67" i="15"/>
  <c r="P67" i="15"/>
  <c r="O67" i="15"/>
  <c r="M67" i="15"/>
  <c r="L67" i="15"/>
  <c r="K67" i="15"/>
  <c r="F67" i="15"/>
  <c r="A67" i="15"/>
  <c r="W66" i="15"/>
  <c r="U66" i="15"/>
  <c r="T66" i="15"/>
  <c r="S66" i="15"/>
  <c r="P66" i="15"/>
  <c r="O66" i="15"/>
  <c r="M66" i="15"/>
  <c r="L66" i="15"/>
  <c r="K66" i="15"/>
  <c r="F66" i="15"/>
  <c r="A66" i="15"/>
  <c r="W65" i="15"/>
  <c r="U65" i="15"/>
  <c r="T65" i="15"/>
  <c r="S65" i="15"/>
  <c r="P65" i="15"/>
  <c r="O65" i="15"/>
  <c r="M65" i="15"/>
  <c r="L65" i="15"/>
  <c r="K65" i="15"/>
  <c r="F65" i="15"/>
  <c r="A65" i="15"/>
  <c r="W64" i="15"/>
  <c r="U64" i="15"/>
  <c r="T64" i="15"/>
  <c r="S64" i="15"/>
  <c r="P64" i="15"/>
  <c r="O64" i="15"/>
  <c r="M64" i="15"/>
  <c r="L64" i="15"/>
  <c r="K64" i="15"/>
  <c r="F64" i="15"/>
  <c r="A64" i="15"/>
  <c r="W63" i="15"/>
  <c r="U63" i="15"/>
  <c r="T63" i="15"/>
  <c r="S63" i="15"/>
  <c r="P63" i="15"/>
  <c r="O63" i="15"/>
  <c r="M63" i="15"/>
  <c r="L63" i="15"/>
  <c r="K63" i="15"/>
  <c r="G63" i="15"/>
  <c r="F63" i="15"/>
  <c r="A63" i="15"/>
  <c r="W62" i="15"/>
  <c r="U62" i="15"/>
  <c r="T62" i="15"/>
  <c r="S62" i="15"/>
  <c r="P62" i="15"/>
  <c r="O62" i="15"/>
  <c r="M62" i="15"/>
  <c r="L62" i="15"/>
  <c r="K62" i="15"/>
  <c r="F62" i="15"/>
  <c r="A62" i="15"/>
  <c r="W61" i="15"/>
  <c r="U61" i="15"/>
  <c r="T61" i="15"/>
  <c r="S61" i="15"/>
  <c r="P61" i="15"/>
  <c r="O61" i="15"/>
  <c r="M61" i="15"/>
  <c r="L61" i="15"/>
  <c r="K61" i="15"/>
  <c r="F61" i="15"/>
  <c r="A61" i="15"/>
  <c r="W60" i="15"/>
  <c r="U60" i="15"/>
  <c r="T60" i="15"/>
  <c r="S60" i="15"/>
  <c r="P60" i="15"/>
  <c r="O60" i="15"/>
  <c r="M60" i="15"/>
  <c r="L60" i="15"/>
  <c r="K60" i="15"/>
  <c r="F60" i="15"/>
  <c r="D60" i="15"/>
  <c r="A60" i="15"/>
  <c r="W59" i="15"/>
  <c r="U59" i="15"/>
  <c r="T59" i="15"/>
  <c r="S59" i="15"/>
  <c r="P59" i="15"/>
  <c r="O59" i="15"/>
  <c r="M59" i="15"/>
  <c r="L59" i="15"/>
  <c r="K59" i="15"/>
  <c r="G59" i="15"/>
  <c r="A59" i="15"/>
  <c r="W58" i="15"/>
  <c r="U58" i="15"/>
  <c r="T58" i="15"/>
  <c r="S58" i="15"/>
  <c r="P58" i="15"/>
  <c r="O58" i="15"/>
  <c r="N58" i="15"/>
  <c r="M58" i="15"/>
  <c r="L58" i="15"/>
  <c r="K58" i="15"/>
  <c r="F58" i="15"/>
  <c r="A58" i="15"/>
  <c r="W57" i="15"/>
  <c r="U57" i="15"/>
  <c r="T57" i="15"/>
  <c r="S57" i="15"/>
  <c r="P57" i="15"/>
  <c r="O57" i="15"/>
  <c r="M57" i="15"/>
  <c r="L57" i="15"/>
  <c r="K57" i="15"/>
  <c r="F57" i="15"/>
  <c r="D57" i="15"/>
  <c r="A57" i="15"/>
  <c r="W56" i="15"/>
  <c r="U56" i="15"/>
  <c r="T56" i="15"/>
  <c r="S56" i="15"/>
  <c r="P56" i="15"/>
  <c r="O56" i="15"/>
  <c r="M56" i="15"/>
  <c r="L56" i="15"/>
  <c r="K56" i="15"/>
  <c r="F56" i="15"/>
  <c r="D56" i="15"/>
  <c r="A56" i="15"/>
  <c r="W55" i="15"/>
  <c r="U55" i="15"/>
  <c r="T55" i="15"/>
  <c r="S55" i="15"/>
  <c r="P55" i="15"/>
  <c r="O55" i="15"/>
  <c r="M55" i="15"/>
  <c r="L55" i="15"/>
  <c r="K55" i="15"/>
  <c r="F55" i="15"/>
  <c r="A55" i="15"/>
  <c r="W54" i="15"/>
  <c r="U54" i="15"/>
  <c r="T54" i="15"/>
  <c r="S54" i="15"/>
  <c r="P54" i="15"/>
  <c r="O54" i="15"/>
  <c r="M54" i="15"/>
  <c r="L54" i="15"/>
  <c r="K54" i="15"/>
  <c r="J54" i="15"/>
  <c r="I54" i="15"/>
  <c r="F54" i="15"/>
  <c r="A54" i="15"/>
  <c r="W53" i="15"/>
  <c r="V53" i="15"/>
  <c r="U53" i="15"/>
  <c r="T53" i="15"/>
  <c r="S53" i="15"/>
  <c r="P53" i="15"/>
  <c r="O53" i="15"/>
  <c r="N53" i="15"/>
  <c r="M53" i="15"/>
  <c r="L53" i="15"/>
  <c r="K53" i="15"/>
  <c r="F53" i="15"/>
  <c r="A53" i="15"/>
  <c r="W52" i="15"/>
  <c r="U52" i="15"/>
  <c r="T52" i="15"/>
  <c r="P52" i="15"/>
  <c r="O52" i="15"/>
  <c r="N52" i="15"/>
  <c r="M52" i="15"/>
  <c r="L52" i="15"/>
  <c r="K52" i="15"/>
  <c r="F52" i="15"/>
  <c r="A52" i="15"/>
  <c r="W51" i="15"/>
  <c r="U51" i="15"/>
  <c r="T51" i="15"/>
  <c r="S51" i="15"/>
  <c r="P51" i="15"/>
  <c r="O51" i="15"/>
  <c r="M51" i="15"/>
  <c r="L51" i="15"/>
  <c r="K51" i="15"/>
  <c r="F51" i="15"/>
  <c r="D51" i="15"/>
  <c r="A51" i="15"/>
  <c r="W50" i="15"/>
  <c r="U50" i="15"/>
  <c r="T50" i="15"/>
  <c r="S50" i="15"/>
  <c r="P50" i="15"/>
  <c r="O50" i="15"/>
  <c r="M50" i="15"/>
  <c r="L50" i="15"/>
  <c r="K50" i="15"/>
  <c r="F50" i="15"/>
  <c r="D50" i="15"/>
  <c r="A50" i="15"/>
  <c r="W49" i="15"/>
  <c r="U49" i="15"/>
  <c r="T49" i="15"/>
  <c r="S49" i="15"/>
  <c r="P49" i="15"/>
  <c r="O49" i="15"/>
  <c r="M49" i="15"/>
  <c r="L49" i="15"/>
  <c r="K49" i="15"/>
  <c r="F49" i="15"/>
  <c r="A49" i="15"/>
  <c r="W48" i="15"/>
  <c r="U48" i="15"/>
  <c r="T48" i="15"/>
  <c r="S48" i="15"/>
  <c r="P48" i="15"/>
  <c r="O48" i="15"/>
  <c r="M48" i="15"/>
  <c r="L48" i="15"/>
  <c r="K48" i="15"/>
  <c r="F48" i="15"/>
  <c r="A48" i="15"/>
  <c r="W47" i="15"/>
  <c r="U47" i="15"/>
  <c r="T47" i="15"/>
  <c r="S47" i="15"/>
  <c r="P47" i="15"/>
  <c r="O47" i="15"/>
  <c r="M47" i="15"/>
  <c r="L47" i="15"/>
  <c r="K47" i="15"/>
  <c r="F47" i="15"/>
  <c r="A47" i="15"/>
  <c r="W46" i="15"/>
  <c r="U46" i="15"/>
  <c r="T46" i="15"/>
  <c r="S46" i="15"/>
  <c r="P46" i="15"/>
  <c r="O46" i="15"/>
  <c r="M46" i="15"/>
  <c r="L46" i="15"/>
  <c r="K46" i="15"/>
  <c r="F46" i="15"/>
  <c r="A46" i="15"/>
  <c r="W45" i="15"/>
  <c r="U45" i="15"/>
  <c r="T45" i="15"/>
  <c r="S45" i="15"/>
  <c r="P45" i="15"/>
  <c r="O45" i="15"/>
  <c r="M45" i="15"/>
  <c r="L45" i="15"/>
  <c r="K45" i="15"/>
  <c r="F45" i="15"/>
  <c r="A45" i="15"/>
  <c r="W44" i="15"/>
  <c r="U44" i="15"/>
  <c r="T44" i="15"/>
  <c r="S44" i="15"/>
  <c r="P44" i="15"/>
  <c r="O44" i="15"/>
  <c r="M44" i="15"/>
  <c r="L44" i="15"/>
  <c r="K44" i="15"/>
  <c r="F44" i="15"/>
  <c r="D44" i="15"/>
  <c r="A44" i="15"/>
  <c r="W43" i="15"/>
  <c r="U43" i="15"/>
  <c r="T43" i="15"/>
  <c r="S43" i="15"/>
  <c r="P43" i="15"/>
  <c r="O43" i="15"/>
  <c r="M43" i="15"/>
  <c r="L43" i="15"/>
  <c r="K43" i="15"/>
  <c r="G43" i="15"/>
  <c r="F43" i="15"/>
  <c r="A43" i="15"/>
  <c r="W42" i="15"/>
  <c r="U42" i="15"/>
  <c r="T42" i="15"/>
  <c r="S42" i="15"/>
  <c r="P42" i="15"/>
  <c r="O42" i="15"/>
  <c r="M42" i="15"/>
  <c r="L42" i="15"/>
  <c r="K42" i="15"/>
  <c r="F42" i="15"/>
  <c r="D42" i="15"/>
  <c r="A42" i="15"/>
  <c r="W41" i="15"/>
  <c r="U41" i="15"/>
  <c r="T41" i="15"/>
  <c r="S41" i="15"/>
  <c r="P41" i="15"/>
  <c r="O41" i="15"/>
  <c r="M41" i="15"/>
  <c r="L41" i="15"/>
  <c r="K41" i="15"/>
  <c r="F41" i="15"/>
  <c r="A41" i="15"/>
  <c r="W40" i="15"/>
  <c r="U40" i="15"/>
  <c r="T40" i="15"/>
  <c r="S40" i="15"/>
  <c r="R40" i="15"/>
  <c r="P40" i="15"/>
  <c r="O40" i="15"/>
  <c r="M40" i="15"/>
  <c r="L40" i="15"/>
  <c r="K40" i="15"/>
  <c r="G40" i="15"/>
  <c r="F40" i="15"/>
  <c r="D40" i="15"/>
  <c r="A40" i="15"/>
  <c r="W39" i="15"/>
  <c r="U39" i="15"/>
  <c r="T39" i="15"/>
  <c r="S39" i="15"/>
  <c r="P39" i="15"/>
  <c r="O39" i="15"/>
  <c r="M39" i="15"/>
  <c r="L39" i="15"/>
  <c r="K39" i="15"/>
  <c r="F39" i="15"/>
  <c r="D39" i="15"/>
  <c r="A39" i="15"/>
  <c r="W38" i="15"/>
  <c r="U38" i="15"/>
  <c r="T38" i="15"/>
  <c r="S38" i="15"/>
  <c r="P38" i="15"/>
  <c r="O38" i="15"/>
  <c r="M38" i="15"/>
  <c r="L38" i="15"/>
  <c r="K38" i="15"/>
  <c r="F38" i="15"/>
  <c r="A38" i="15"/>
  <c r="W37" i="15"/>
  <c r="U37" i="15"/>
  <c r="T37" i="15"/>
  <c r="S37" i="15"/>
  <c r="P37" i="15"/>
  <c r="O37" i="15"/>
  <c r="M37" i="15"/>
  <c r="L37" i="15"/>
  <c r="K37" i="15"/>
  <c r="F37" i="15"/>
  <c r="D37" i="15"/>
  <c r="A37" i="15"/>
  <c r="W36" i="15"/>
  <c r="U36" i="15"/>
  <c r="T36" i="15"/>
  <c r="S36" i="15"/>
  <c r="P36" i="15"/>
  <c r="O36" i="15"/>
  <c r="M36" i="15"/>
  <c r="L36" i="15"/>
  <c r="K36" i="15"/>
  <c r="F36" i="15"/>
  <c r="D36" i="15"/>
  <c r="A36" i="15"/>
  <c r="W35" i="15"/>
  <c r="U35" i="15"/>
  <c r="T35" i="15"/>
  <c r="S35" i="15"/>
  <c r="P35" i="15"/>
  <c r="O35" i="15"/>
  <c r="M35" i="15"/>
  <c r="L35" i="15"/>
  <c r="K35" i="15"/>
  <c r="F35" i="15"/>
  <c r="D35" i="15"/>
  <c r="A35" i="15"/>
  <c r="W34" i="15"/>
  <c r="U34" i="15"/>
  <c r="T34" i="15"/>
  <c r="S34" i="15"/>
  <c r="P34" i="15"/>
  <c r="O34" i="15"/>
  <c r="M34" i="15"/>
  <c r="L34" i="15"/>
  <c r="K34" i="15"/>
  <c r="F34" i="15"/>
  <c r="A34" i="15"/>
  <c r="W33" i="15"/>
  <c r="U33" i="15"/>
  <c r="T33" i="15"/>
  <c r="S33" i="15"/>
  <c r="P33" i="15"/>
  <c r="O33" i="15"/>
  <c r="M33" i="15"/>
  <c r="L33" i="15"/>
  <c r="K33" i="15"/>
  <c r="F33" i="15"/>
  <c r="A33" i="15"/>
  <c r="W32" i="15"/>
  <c r="U32" i="15"/>
  <c r="T32" i="15"/>
  <c r="S32" i="15"/>
  <c r="P32" i="15"/>
  <c r="O32" i="15"/>
  <c r="M32" i="15"/>
  <c r="L32" i="15"/>
  <c r="K32" i="15"/>
  <c r="F32" i="15"/>
  <c r="A32" i="15"/>
  <c r="W31" i="15"/>
  <c r="U31" i="15"/>
  <c r="T31" i="15"/>
  <c r="S31" i="15"/>
  <c r="P31" i="15"/>
  <c r="O31" i="15"/>
  <c r="M31" i="15"/>
  <c r="L31" i="15"/>
  <c r="K31" i="15"/>
  <c r="F31" i="15"/>
  <c r="A31" i="15"/>
  <c r="W30" i="15"/>
  <c r="U30" i="15"/>
  <c r="T30" i="15"/>
  <c r="S30" i="15"/>
  <c r="P30" i="15"/>
  <c r="O30" i="15"/>
  <c r="M30" i="15"/>
  <c r="L30" i="15"/>
  <c r="K30" i="15"/>
  <c r="F30" i="15"/>
  <c r="D30" i="15"/>
  <c r="A30" i="15"/>
  <c r="W29" i="15"/>
  <c r="U29" i="15"/>
  <c r="T29" i="15"/>
  <c r="S29" i="15"/>
  <c r="P29" i="15"/>
  <c r="O29" i="15"/>
  <c r="M29" i="15"/>
  <c r="L29" i="15"/>
  <c r="K29" i="15"/>
  <c r="F29" i="15"/>
  <c r="D29" i="15"/>
  <c r="A29" i="15"/>
  <c r="W28" i="15"/>
  <c r="U28" i="15"/>
  <c r="T28" i="15"/>
  <c r="S28" i="15"/>
  <c r="P28" i="15"/>
  <c r="O28" i="15"/>
  <c r="M28" i="15"/>
  <c r="L28" i="15"/>
  <c r="K28" i="15"/>
  <c r="F28" i="15"/>
  <c r="A28" i="15"/>
  <c r="W27" i="15"/>
  <c r="U27" i="15"/>
  <c r="T27" i="15"/>
  <c r="S27" i="15"/>
  <c r="P27" i="15"/>
  <c r="O27" i="15"/>
  <c r="N27" i="15"/>
  <c r="M27" i="15"/>
  <c r="L27" i="15"/>
  <c r="K27" i="15"/>
  <c r="F27" i="15"/>
  <c r="D27" i="15"/>
  <c r="A27" i="15"/>
  <c r="W26" i="15"/>
  <c r="U26" i="15"/>
  <c r="T26" i="15"/>
  <c r="S26" i="15"/>
  <c r="P26" i="15"/>
  <c r="O26" i="15"/>
  <c r="M26" i="15"/>
  <c r="L26" i="15"/>
  <c r="K26" i="15"/>
  <c r="F26" i="15"/>
  <c r="A26" i="15"/>
  <c r="W25" i="15"/>
  <c r="U25" i="15"/>
  <c r="T25" i="15"/>
  <c r="S25" i="15"/>
  <c r="P25" i="15"/>
  <c r="O25" i="15"/>
  <c r="M25" i="15"/>
  <c r="L25" i="15"/>
  <c r="K25" i="15"/>
  <c r="F25" i="15"/>
  <c r="D25" i="15"/>
  <c r="A25" i="15"/>
  <c r="W24" i="15"/>
  <c r="U24" i="15"/>
  <c r="T24" i="15"/>
  <c r="S24" i="15"/>
  <c r="P24" i="15"/>
  <c r="O24" i="15"/>
  <c r="M24" i="15"/>
  <c r="L24" i="15"/>
  <c r="K24" i="15"/>
  <c r="F24" i="15"/>
  <c r="A24" i="15"/>
  <c r="W23" i="15"/>
  <c r="U23" i="15"/>
  <c r="T23" i="15"/>
  <c r="S23" i="15"/>
  <c r="P23" i="15"/>
  <c r="O23" i="15"/>
  <c r="M23" i="15"/>
  <c r="L23" i="15"/>
  <c r="K23" i="15"/>
  <c r="F23" i="15"/>
  <c r="D23" i="15"/>
  <c r="A23" i="15"/>
  <c r="W22" i="15"/>
  <c r="U22" i="15"/>
  <c r="T22" i="15"/>
  <c r="S22" i="15"/>
  <c r="Q22" i="15"/>
  <c r="P22" i="15"/>
  <c r="O22" i="15"/>
  <c r="M22" i="15"/>
  <c r="L22" i="15"/>
  <c r="K22" i="15"/>
  <c r="G22" i="15"/>
  <c r="F22" i="15"/>
  <c r="D22" i="15"/>
  <c r="A22" i="15"/>
  <c r="W21" i="15"/>
  <c r="U21" i="15"/>
  <c r="T21" i="15"/>
  <c r="S21" i="15"/>
  <c r="P21" i="15"/>
  <c r="O21" i="15"/>
  <c r="N21" i="15"/>
  <c r="M21" i="15"/>
  <c r="L21" i="15"/>
  <c r="K21" i="15"/>
  <c r="F21" i="15"/>
  <c r="A21" i="15"/>
  <c r="W20" i="15"/>
  <c r="U20" i="15"/>
  <c r="T20" i="15"/>
  <c r="S20" i="15"/>
  <c r="P20" i="15"/>
  <c r="O20" i="15"/>
  <c r="M20" i="15"/>
  <c r="L20" i="15"/>
  <c r="K20" i="15"/>
  <c r="F20" i="15"/>
  <c r="D20" i="15"/>
  <c r="A20" i="15"/>
  <c r="W19" i="15"/>
  <c r="U19" i="15"/>
  <c r="T19" i="15"/>
  <c r="S19" i="15"/>
  <c r="P19" i="15"/>
  <c r="O19" i="15"/>
  <c r="M19" i="15"/>
  <c r="L19" i="15"/>
  <c r="K19" i="15"/>
  <c r="F19" i="15"/>
  <c r="D19" i="15"/>
  <c r="A19" i="15"/>
  <c r="W18" i="15"/>
  <c r="U18" i="15"/>
  <c r="T18" i="15"/>
  <c r="S18" i="15"/>
  <c r="P18" i="15"/>
  <c r="O18" i="15"/>
  <c r="M18" i="15"/>
  <c r="L18" i="15"/>
  <c r="K18" i="15"/>
  <c r="F18" i="15"/>
  <c r="D18" i="15"/>
  <c r="A18" i="15"/>
  <c r="W17" i="15"/>
  <c r="U17" i="15"/>
  <c r="T17" i="15"/>
  <c r="P17" i="15"/>
  <c r="O17" i="15"/>
  <c r="M17" i="15"/>
  <c r="L17" i="15"/>
  <c r="K17" i="15"/>
  <c r="F17" i="15"/>
  <c r="D17" i="15"/>
  <c r="A17" i="15"/>
  <c r="W16" i="15"/>
  <c r="U16" i="15"/>
  <c r="T16" i="15"/>
  <c r="S16" i="15"/>
  <c r="P16" i="15"/>
  <c r="O16" i="15"/>
  <c r="M16" i="15"/>
  <c r="L16" i="15"/>
  <c r="K16" i="15"/>
  <c r="F16" i="15"/>
  <c r="D16" i="15"/>
  <c r="A16" i="15"/>
  <c r="W15" i="15"/>
  <c r="U15" i="15"/>
  <c r="T15" i="15"/>
  <c r="S15" i="15"/>
  <c r="P15" i="15"/>
  <c r="O15" i="15"/>
  <c r="M15" i="15"/>
  <c r="L15" i="15"/>
  <c r="K15" i="15"/>
  <c r="F15" i="15"/>
  <c r="D15" i="15"/>
  <c r="A15" i="15"/>
  <c r="W14" i="15"/>
  <c r="U14" i="15"/>
  <c r="T14" i="15"/>
  <c r="S14" i="15"/>
  <c r="P14" i="15"/>
  <c r="O14" i="15"/>
  <c r="M14" i="15"/>
  <c r="L14" i="15"/>
  <c r="K14" i="15"/>
  <c r="F14" i="15"/>
  <c r="D14" i="15"/>
  <c r="A14" i="15"/>
  <c r="W13" i="15"/>
  <c r="U13" i="15"/>
  <c r="T13" i="15"/>
  <c r="S13" i="15"/>
  <c r="P13" i="15"/>
  <c r="O13" i="15"/>
  <c r="M13" i="15"/>
  <c r="L13" i="15"/>
  <c r="K13" i="15"/>
  <c r="F13" i="15"/>
  <c r="A13" i="15"/>
  <c r="W12" i="15"/>
  <c r="U12" i="15"/>
  <c r="T12" i="15"/>
  <c r="S12" i="15"/>
  <c r="P12" i="15"/>
  <c r="O12" i="15"/>
  <c r="N12" i="15"/>
  <c r="M12" i="15"/>
  <c r="L12" i="15"/>
  <c r="K12" i="15"/>
  <c r="F12" i="15"/>
  <c r="A12" i="15"/>
  <c r="W11" i="15"/>
  <c r="U11" i="15"/>
  <c r="T11" i="15"/>
  <c r="S11" i="15"/>
  <c r="P11" i="15"/>
  <c r="O11" i="15"/>
  <c r="M11" i="15"/>
  <c r="L11" i="15"/>
  <c r="K11" i="15"/>
  <c r="F11" i="15"/>
  <c r="A11" i="15"/>
  <c r="W10" i="15"/>
  <c r="U10" i="15"/>
  <c r="T10" i="15"/>
  <c r="S10" i="15"/>
  <c r="P10" i="15"/>
  <c r="O10" i="15"/>
  <c r="N10" i="15"/>
  <c r="M10" i="15"/>
  <c r="L10" i="15"/>
  <c r="K10" i="15"/>
  <c r="F10" i="15"/>
  <c r="A10" i="15"/>
  <c r="W9" i="15"/>
  <c r="U9" i="15"/>
  <c r="T9" i="15"/>
  <c r="S9" i="15"/>
  <c r="P9" i="15"/>
  <c r="O9" i="15"/>
  <c r="M9" i="15"/>
  <c r="L9" i="15"/>
  <c r="K9" i="15"/>
  <c r="J9" i="15"/>
  <c r="I9" i="15"/>
  <c r="F9" i="15"/>
  <c r="D9" i="15"/>
  <c r="A9" i="15"/>
  <c r="W8" i="15"/>
  <c r="U8" i="15"/>
  <c r="T8" i="15"/>
  <c r="S8" i="15"/>
  <c r="P8" i="15"/>
  <c r="O8" i="15"/>
  <c r="N8" i="15"/>
  <c r="M8" i="15"/>
  <c r="L8" i="15"/>
  <c r="K8" i="15"/>
  <c r="F8" i="15"/>
  <c r="D8" i="15"/>
  <c r="A8" i="15"/>
  <c r="W7" i="15"/>
  <c r="U7" i="15"/>
  <c r="T7" i="15"/>
  <c r="S7" i="15"/>
  <c r="Q7" i="15"/>
  <c r="P7" i="15"/>
  <c r="O7" i="15"/>
  <c r="N7" i="15"/>
  <c r="M7" i="15"/>
  <c r="L7" i="15"/>
  <c r="K7" i="15"/>
  <c r="F7" i="15"/>
  <c r="A7" i="15"/>
  <c r="W6" i="15"/>
  <c r="U6" i="15"/>
  <c r="T6" i="15"/>
  <c r="S6" i="15"/>
  <c r="P6" i="15"/>
  <c r="O6" i="15"/>
  <c r="M6" i="15"/>
  <c r="L6" i="15"/>
  <c r="K6" i="15"/>
  <c r="F6" i="15"/>
  <c r="J1" i="15"/>
  <c r="D26" i="43"/>
  <c r="E25" i="43"/>
  <c r="D25" i="43"/>
  <c r="E24" i="43"/>
  <c r="D24" i="43"/>
  <c r="E23" i="43"/>
  <c r="D23" i="43"/>
  <c r="E22" i="43"/>
  <c r="D22" i="43"/>
  <c r="E21" i="43"/>
  <c r="D21" i="43"/>
  <c r="E20" i="43"/>
  <c r="D20" i="43"/>
  <c r="F15" i="43"/>
  <c r="E15" i="43"/>
  <c r="F14" i="43"/>
  <c r="E14" i="43"/>
  <c r="F13" i="43"/>
  <c r="E13" i="43"/>
  <c r="F12" i="43"/>
  <c r="E12" i="43"/>
  <c r="F7" i="43"/>
  <c r="F5" i="43"/>
  <c r="R148" i="3"/>
  <c r="Q142" i="3"/>
  <c r="Q144" i="3" s="1"/>
  <c r="Q141" i="3"/>
  <c r="R137" i="3"/>
  <c r="S137" i="3" s="1"/>
  <c r="R136" i="3"/>
  <c r="R131" i="3"/>
  <c r="R130" i="3"/>
  <c r="R128" i="3"/>
  <c r="Q128" i="3"/>
  <c r="AC127" i="3"/>
  <c r="Q127" i="3"/>
  <c r="P127" i="3"/>
  <c r="AC125" i="3"/>
  <c r="AB123" i="3"/>
  <c r="AB121" i="3"/>
  <c r="X120" i="3"/>
  <c r="Q120" i="3"/>
  <c r="P120" i="3"/>
  <c r="AB119" i="3"/>
  <c r="Q119" i="3"/>
  <c r="X118" i="3"/>
  <c r="Q117" i="3"/>
  <c r="P117" i="3"/>
  <c r="P128" i="3" s="1"/>
  <c r="U115" i="3"/>
  <c r="T115" i="3"/>
  <c r="P115" i="3"/>
  <c r="M115" i="3"/>
  <c r="L115" i="3"/>
  <c r="AH114" i="3"/>
  <c r="AH111" i="3"/>
  <c r="AH110" i="3"/>
  <c r="AG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110" i="3"/>
  <c r="AH109" i="3"/>
  <c r="AH108" i="3"/>
  <c r="AG108" i="3"/>
  <c r="AF108" i="3"/>
  <c r="AE108" i="3"/>
  <c r="AD108" i="3"/>
  <c r="AC108" i="3"/>
  <c r="AB108" i="3"/>
  <c r="AA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H107" i="3"/>
  <c r="V107" i="3"/>
  <c r="U107" i="3"/>
  <c r="O107" i="3"/>
  <c r="F107" i="3"/>
  <c r="A107" i="3"/>
  <c r="AH106" i="3"/>
  <c r="V106" i="3"/>
  <c r="U106" i="3"/>
  <c r="O106" i="3"/>
  <c r="F106" i="3"/>
  <c r="A106" i="3"/>
  <c r="AH105" i="3"/>
  <c r="Y105" i="3"/>
  <c r="V105" i="3"/>
  <c r="U105" i="3"/>
  <c r="O105" i="3"/>
  <c r="F105" i="3"/>
  <c r="A105" i="3"/>
  <c r="AH104" i="3"/>
  <c r="V104" i="3"/>
  <c r="U104" i="3"/>
  <c r="O104" i="3"/>
  <c r="F104" i="3"/>
  <c r="A104" i="3"/>
  <c r="AH103" i="3"/>
  <c r="V103" i="3"/>
  <c r="U103" i="3"/>
  <c r="O103" i="3"/>
  <c r="F103" i="3"/>
  <c r="A103" i="3"/>
  <c r="AH102" i="3"/>
  <c r="V102" i="3"/>
  <c r="U102" i="3"/>
  <c r="O102" i="3"/>
  <c r="N102" i="3"/>
  <c r="F102" i="3"/>
  <c r="A102" i="3"/>
  <c r="AH101" i="3"/>
  <c r="V101" i="3"/>
  <c r="U101" i="3"/>
  <c r="T101" i="3"/>
  <c r="S101" i="3"/>
  <c r="O101" i="3"/>
  <c r="F101" i="3"/>
  <c r="A101" i="3"/>
  <c r="AH100" i="3"/>
  <c r="V100" i="3"/>
  <c r="U100" i="3"/>
  <c r="T100" i="3"/>
  <c r="S100" i="3"/>
  <c r="P100" i="3"/>
  <c r="O100" i="3"/>
  <c r="M100" i="3"/>
  <c r="L100" i="3"/>
  <c r="K100" i="3"/>
  <c r="F100" i="3"/>
  <c r="A100" i="3"/>
  <c r="AH99" i="3"/>
  <c r="V99" i="3"/>
  <c r="U99" i="3"/>
  <c r="T99" i="3"/>
  <c r="S99" i="3"/>
  <c r="P99" i="3"/>
  <c r="O99" i="3"/>
  <c r="N99" i="3"/>
  <c r="M99" i="3"/>
  <c r="F99" i="3"/>
  <c r="A99" i="3"/>
  <c r="AH98" i="3"/>
  <c r="V98" i="3"/>
  <c r="U98" i="3"/>
  <c r="T98" i="3"/>
  <c r="S98" i="3"/>
  <c r="P98" i="3"/>
  <c r="O98" i="3"/>
  <c r="M98" i="3"/>
  <c r="L98" i="3"/>
  <c r="K98" i="3"/>
  <c r="F98" i="3"/>
  <c r="A98" i="3"/>
  <c r="AH97" i="3"/>
  <c r="V97" i="3"/>
  <c r="U97" i="3"/>
  <c r="T97" i="3"/>
  <c r="S97" i="3"/>
  <c r="P97" i="3"/>
  <c r="O97" i="3"/>
  <c r="M97" i="3"/>
  <c r="L97" i="3"/>
  <c r="K97" i="3"/>
  <c r="F97" i="3"/>
  <c r="A97" i="3"/>
  <c r="AH96" i="3"/>
  <c r="V96" i="3"/>
  <c r="U96" i="3"/>
  <c r="T96" i="3"/>
  <c r="S96" i="3"/>
  <c r="P96" i="3"/>
  <c r="O96" i="3"/>
  <c r="N96" i="3"/>
  <c r="M96" i="3"/>
  <c r="L96" i="3"/>
  <c r="K96" i="3"/>
  <c r="F96" i="3"/>
  <c r="A96" i="3"/>
  <c r="AH95" i="3"/>
  <c r="V95" i="3"/>
  <c r="U95" i="3"/>
  <c r="T95" i="3"/>
  <c r="S95" i="3"/>
  <c r="P95" i="3"/>
  <c r="O95" i="3"/>
  <c r="M95" i="3"/>
  <c r="L95" i="3"/>
  <c r="K95" i="3"/>
  <c r="F95" i="3"/>
  <c r="A95" i="3"/>
  <c r="AH94" i="3"/>
  <c r="V94" i="3"/>
  <c r="U94" i="3"/>
  <c r="T94" i="3"/>
  <c r="S94" i="3"/>
  <c r="P94" i="3"/>
  <c r="O94" i="3"/>
  <c r="N94" i="3"/>
  <c r="M94" i="3"/>
  <c r="L94" i="3"/>
  <c r="K94" i="3"/>
  <c r="F94" i="3"/>
  <c r="A94" i="3"/>
  <c r="AH93" i="3"/>
  <c r="Y93" i="3"/>
  <c r="V93" i="3"/>
  <c r="U93" i="3"/>
  <c r="T93" i="3"/>
  <c r="S93" i="3"/>
  <c r="P93" i="3"/>
  <c r="O93" i="3"/>
  <c r="N93" i="3"/>
  <c r="M93" i="3"/>
  <c r="L93" i="3"/>
  <c r="K93" i="3"/>
  <c r="F93" i="3"/>
  <c r="A93" i="3"/>
  <c r="AH92" i="3"/>
  <c r="V92" i="3"/>
  <c r="U92" i="3"/>
  <c r="T92" i="3"/>
  <c r="S92" i="3"/>
  <c r="P92" i="3"/>
  <c r="O92" i="3"/>
  <c r="N92" i="3"/>
  <c r="M92" i="3"/>
  <c r="L92" i="3"/>
  <c r="K92" i="3"/>
  <c r="F92" i="3"/>
  <c r="A92" i="3"/>
  <c r="AH91" i="3"/>
  <c r="V91" i="3"/>
  <c r="U91" i="3"/>
  <c r="T91" i="3"/>
  <c r="S91" i="3"/>
  <c r="P91" i="3"/>
  <c r="O91" i="3"/>
  <c r="N91" i="3"/>
  <c r="M91" i="3"/>
  <c r="L91" i="3"/>
  <c r="K91" i="3"/>
  <c r="F91" i="3"/>
  <c r="A91" i="3"/>
  <c r="AH90" i="3"/>
  <c r="V90" i="3"/>
  <c r="U90" i="3"/>
  <c r="T90" i="3"/>
  <c r="S90" i="3"/>
  <c r="P90" i="3"/>
  <c r="O90" i="3"/>
  <c r="M90" i="3"/>
  <c r="L90" i="3"/>
  <c r="K90" i="3"/>
  <c r="F90" i="3"/>
  <c r="A90" i="3"/>
  <c r="AH89" i="3"/>
  <c r="V89" i="3"/>
  <c r="U89" i="3"/>
  <c r="T89" i="3"/>
  <c r="S89" i="3"/>
  <c r="P89" i="3"/>
  <c r="O89" i="3"/>
  <c r="N89" i="3"/>
  <c r="M89" i="3"/>
  <c r="L89" i="3"/>
  <c r="K89" i="3"/>
  <c r="F89" i="3"/>
  <c r="A89" i="3"/>
  <c r="AH88" i="3"/>
  <c r="V88" i="3"/>
  <c r="U88" i="3"/>
  <c r="T88" i="3"/>
  <c r="S88" i="3"/>
  <c r="P88" i="3"/>
  <c r="O88" i="3"/>
  <c r="M88" i="3"/>
  <c r="L88" i="3"/>
  <c r="K88" i="3"/>
  <c r="F88" i="3"/>
  <c r="A88" i="3"/>
  <c r="AH87" i="3"/>
  <c r="V87" i="3"/>
  <c r="U87" i="3"/>
  <c r="T87" i="3"/>
  <c r="S87" i="3"/>
  <c r="P87" i="3"/>
  <c r="O87" i="3"/>
  <c r="N87" i="3"/>
  <c r="M87" i="3"/>
  <c r="L87" i="3"/>
  <c r="K87" i="3"/>
  <c r="F87" i="3"/>
  <c r="A87" i="3"/>
  <c r="AH86" i="3"/>
  <c r="AH85" i="3"/>
  <c r="AH84" i="3"/>
  <c r="AG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H83" i="3"/>
  <c r="V83" i="3"/>
  <c r="U83" i="3"/>
  <c r="O83" i="3"/>
  <c r="F83" i="3"/>
  <c r="A83" i="3"/>
  <c r="AH82" i="3"/>
  <c r="V82" i="3"/>
  <c r="U82" i="3"/>
  <c r="O82" i="3"/>
  <c r="N82" i="3"/>
  <c r="F82" i="3"/>
  <c r="A82" i="3"/>
  <c r="AH81" i="3"/>
  <c r="V81" i="3"/>
  <c r="U81" i="3"/>
  <c r="O81" i="3"/>
  <c r="N81" i="3"/>
  <c r="F81" i="3"/>
  <c r="A81" i="3"/>
  <c r="AH80" i="3"/>
  <c r="V80" i="3"/>
  <c r="U80" i="3"/>
  <c r="O80" i="3"/>
  <c r="F80" i="3"/>
  <c r="A80" i="3"/>
  <c r="AH79" i="3"/>
  <c r="V79" i="3"/>
  <c r="U79" i="3"/>
  <c r="O79" i="3"/>
  <c r="N79" i="3"/>
  <c r="F79" i="3"/>
  <c r="A79" i="3"/>
  <c r="AH78" i="3"/>
  <c r="V78" i="3"/>
  <c r="U78" i="3"/>
  <c r="P78" i="3"/>
  <c r="O78" i="3"/>
  <c r="N78" i="3"/>
  <c r="M78" i="3"/>
  <c r="F78" i="3"/>
  <c r="A78" i="3"/>
  <c r="AH77" i="3"/>
  <c r="V77" i="3"/>
  <c r="U77" i="3"/>
  <c r="T77" i="3"/>
  <c r="S77" i="3"/>
  <c r="P77" i="3"/>
  <c r="O77" i="3"/>
  <c r="M77" i="3"/>
  <c r="L77" i="3"/>
  <c r="K77" i="3"/>
  <c r="F77" i="3"/>
  <c r="A77" i="3"/>
  <c r="AH76" i="3"/>
  <c r="V76" i="3"/>
  <c r="U76" i="3"/>
  <c r="T76" i="3"/>
  <c r="S76" i="3"/>
  <c r="P76" i="3"/>
  <c r="O76" i="3"/>
  <c r="M76" i="3"/>
  <c r="L76" i="3"/>
  <c r="K76" i="3"/>
  <c r="F76" i="3"/>
  <c r="A76" i="3"/>
  <c r="AH75" i="3"/>
  <c r="V75" i="3"/>
  <c r="U75" i="3"/>
  <c r="T75" i="3"/>
  <c r="S75" i="3"/>
  <c r="P75" i="3"/>
  <c r="O75" i="3"/>
  <c r="M75" i="3"/>
  <c r="L75" i="3"/>
  <c r="K75" i="3"/>
  <c r="F75" i="3"/>
  <c r="A75" i="3"/>
  <c r="AH74" i="3"/>
  <c r="V74" i="3"/>
  <c r="U74" i="3"/>
  <c r="T74" i="3"/>
  <c r="S74" i="3"/>
  <c r="P74" i="3"/>
  <c r="O74" i="3"/>
  <c r="M74" i="3"/>
  <c r="L74" i="3"/>
  <c r="K74" i="3"/>
  <c r="F74" i="3"/>
  <c r="A74" i="3"/>
  <c r="AH73" i="3"/>
  <c r="V73" i="3"/>
  <c r="U73" i="3"/>
  <c r="T73" i="3"/>
  <c r="S73" i="3"/>
  <c r="P73" i="3"/>
  <c r="O73" i="3"/>
  <c r="M73" i="3"/>
  <c r="L73" i="3"/>
  <c r="K73" i="3"/>
  <c r="F73" i="3"/>
  <c r="A73" i="3"/>
  <c r="AH72" i="3"/>
  <c r="V72" i="3"/>
  <c r="U72" i="3"/>
  <c r="T72" i="3"/>
  <c r="S72" i="3"/>
  <c r="R72" i="3"/>
  <c r="P72" i="3"/>
  <c r="O72" i="3"/>
  <c r="M72" i="3"/>
  <c r="L72" i="3"/>
  <c r="K72" i="3"/>
  <c r="G72" i="3"/>
  <c r="F72" i="3"/>
  <c r="A72" i="3"/>
  <c r="AH71" i="3"/>
  <c r="V71" i="3"/>
  <c r="U71" i="3"/>
  <c r="T71" i="3"/>
  <c r="S71" i="3"/>
  <c r="R71" i="3"/>
  <c r="P71" i="3"/>
  <c r="O71" i="3"/>
  <c r="M71" i="3"/>
  <c r="L71" i="3"/>
  <c r="K71" i="3"/>
  <c r="F71" i="3"/>
  <c r="A71" i="3"/>
  <c r="AH70" i="3"/>
  <c r="V70" i="3"/>
  <c r="U70" i="3"/>
  <c r="T70" i="3"/>
  <c r="S70" i="3"/>
  <c r="P70" i="3"/>
  <c r="O70" i="3"/>
  <c r="M70" i="3"/>
  <c r="L70" i="3"/>
  <c r="K70" i="3"/>
  <c r="F70" i="3"/>
  <c r="A70" i="3"/>
  <c r="AH69" i="3"/>
  <c r="V69" i="3"/>
  <c r="U69" i="3"/>
  <c r="T69" i="3"/>
  <c r="S69" i="3"/>
  <c r="P69" i="3"/>
  <c r="O69" i="3"/>
  <c r="N69" i="3"/>
  <c r="M69" i="3"/>
  <c r="L69" i="3"/>
  <c r="K69" i="3"/>
  <c r="F69" i="3"/>
  <c r="A69" i="3"/>
  <c r="AH68" i="3"/>
  <c r="V68" i="3"/>
  <c r="U68" i="3"/>
  <c r="T68" i="3"/>
  <c r="S68" i="3"/>
  <c r="R68" i="3"/>
  <c r="P68" i="3"/>
  <c r="O68" i="3"/>
  <c r="M68" i="3"/>
  <c r="L68" i="3"/>
  <c r="K68" i="3"/>
  <c r="F68" i="3"/>
  <c r="D68" i="3"/>
  <c r="A68" i="3"/>
  <c r="AH67" i="3"/>
  <c r="V67" i="3"/>
  <c r="U67" i="3"/>
  <c r="T67" i="3"/>
  <c r="S67" i="3"/>
  <c r="P67" i="3"/>
  <c r="O67" i="3"/>
  <c r="M67" i="3"/>
  <c r="L67" i="3"/>
  <c r="K67" i="3"/>
  <c r="F67" i="3"/>
  <c r="A67" i="3"/>
  <c r="AH66" i="3"/>
  <c r="V66" i="3"/>
  <c r="U66" i="3"/>
  <c r="T66" i="3"/>
  <c r="S66" i="3"/>
  <c r="Q66" i="3"/>
  <c r="P66" i="3"/>
  <c r="O66" i="3"/>
  <c r="M66" i="3"/>
  <c r="L66" i="3"/>
  <c r="K66" i="3"/>
  <c r="G66" i="3"/>
  <c r="F66" i="3"/>
  <c r="E66" i="3"/>
  <c r="D66" i="3"/>
  <c r="A66" i="3"/>
  <c r="AH65" i="3"/>
  <c r="V65" i="3"/>
  <c r="U65" i="3"/>
  <c r="T65" i="3"/>
  <c r="S65" i="3"/>
  <c r="P65" i="3"/>
  <c r="O65" i="3"/>
  <c r="M65" i="3"/>
  <c r="L65" i="3"/>
  <c r="K65" i="3"/>
  <c r="F65" i="3"/>
  <c r="A65" i="3"/>
  <c r="AH64" i="3"/>
  <c r="V64" i="3"/>
  <c r="U64" i="3"/>
  <c r="T64" i="3"/>
  <c r="S64" i="3"/>
  <c r="P64" i="3"/>
  <c r="O64" i="3"/>
  <c r="M64" i="3"/>
  <c r="L64" i="3"/>
  <c r="K64" i="3"/>
  <c r="F64" i="3"/>
  <c r="A64" i="3"/>
  <c r="AH63" i="3"/>
  <c r="V63" i="3"/>
  <c r="U63" i="3"/>
  <c r="T63" i="3"/>
  <c r="S63" i="3"/>
  <c r="P63" i="3"/>
  <c r="O63" i="3"/>
  <c r="N63" i="3"/>
  <c r="M63" i="3"/>
  <c r="L63" i="3"/>
  <c r="K63" i="3"/>
  <c r="F63" i="3"/>
  <c r="A63" i="3"/>
  <c r="AH62" i="3"/>
  <c r="V62" i="3"/>
  <c r="U62" i="3"/>
  <c r="T62" i="3"/>
  <c r="S62" i="3"/>
  <c r="P62" i="3"/>
  <c r="O62" i="3"/>
  <c r="M62" i="3"/>
  <c r="L62" i="3"/>
  <c r="K62" i="3"/>
  <c r="F62" i="3"/>
  <c r="A62" i="3"/>
  <c r="AH61" i="3"/>
  <c r="V61" i="3"/>
  <c r="U61" i="3"/>
  <c r="T61" i="3"/>
  <c r="S61" i="3"/>
  <c r="P61" i="3"/>
  <c r="O61" i="3"/>
  <c r="N61" i="3"/>
  <c r="M61" i="3"/>
  <c r="L61" i="3"/>
  <c r="K61" i="3"/>
  <c r="F61" i="3"/>
  <c r="A61" i="3"/>
  <c r="AH60" i="3"/>
  <c r="V60" i="3"/>
  <c r="U60" i="3"/>
  <c r="T60" i="3"/>
  <c r="S60" i="3"/>
  <c r="P60" i="3"/>
  <c r="O60" i="3"/>
  <c r="N60" i="3"/>
  <c r="M60" i="3"/>
  <c r="L60" i="3"/>
  <c r="K60" i="3"/>
  <c r="F60" i="3"/>
  <c r="A60" i="3"/>
  <c r="AH59" i="3"/>
  <c r="V59" i="3"/>
  <c r="U59" i="3"/>
  <c r="T59" i="3"/>
  <c r="S59" i="3"/>
  <c r="P59" i="3"/>
  <c r="O59" i="3"/>
  <c r="N59" i="3"/>
  <c r="M59" i="3"/>
  <c r="L59" i="3"/>
  <c r="K59" i="3"/>
  <c r="F59" i="3"/>
  <c r="A59" i="3"/>
  <c r="AH58" i="3"/>
  <c r="V58" i="3"/>
  <c r="U58" i="3"/>
  <c r="T58" i="3"/>
  <c r="S58" i="3"/>
  <c r="P58" i="3"/>
  <c r="O58" i="3"/>
  <c r="N58" i="3"/>
  <c r="M58" i="3"/>
  <c r="L58" i="3"/>
  <c r="K58" i="3"/>
  <c r="F58" i="3"/>
  <c r="D58" i="3"/>
  <c r="A58" i="3"/>
  <c r="AH57" i="3"/>
  <c r="V57" i="3"/>
  <c r="U57" i="3"/>
  <c r="T57" i="3"/>
  <c r="S57" i="3"/>
  <c r="P57" i="3"/>
  <c r="O57" i="3"/>
  <c r="N57" i="3"/>
  <c r="M57" i="3"/>
  <c r="L57" i="3"/>
  <c r="K57" i="3"/>
  <c r="F57" i="3"/>
  <c r="A57" i="3"/>
  <c r="AH56" i="3"/>
  <c r="V56" i="3"/>
  <c r="U56" i="3"/>
  <c r="T56" i="3"/>
  <c r="S56" i="3"/>
  <c r="P56" i="3"/>
  <c r="O56" i="3"/>
  <c r="M56" i="3"/>
  <c r="L56" i="3"/>
  <c r="K56" i="3"/>
  <c r="F56" i="3"/>
  <c r="A56" i="3"/>
  <c r="AH55" i="3"/>
  <c r="V55" i="3"/>
  <c r="U55" i="3"/>
  <c r="T55" i="3"/>
  <c r="S55" i="3"/>
  <c r="P55" i="3"/>
  <c r="O55" i="3"/>
  <c r="M55" i="3"/>
  <c r="L55" i="3"/>
  <c r="K55" i="3"/>
  <c r="F55" i="3"/>
  <c r="A55" i="3"/>
  <c r="AH54" i="3"/>
  <c r="V54" i="3"/>
  <c r="U54" i="3"/>
  <c r="T54" i="3"/>
  <c r="S54" i="3"/>
  <c r="P54" i="3"/>
  <c r="O54" i="3"/>
  <c r="M54" i="3"/>
  <c r="L54" i="3"/>
  <c r="K54" i="3"/>
  <c r="F54" i="3"/>
  <c r="A54" i="3"/>
  <c r="AH53" i="3"/>
  <c r="V53" i="3"/>
  <c r="U53" i="3"/>
  <c r="T53" i="3"/>
  <c r="S53" i="3"/>
  <c r="P53" i="3"/>
  <c r="O53" i="3"/>
  <c r="M53" i="3"/>
  <c r="L53" i="3"/>
  <c r="K53" i="3"/>
  <c r="F53" i="3"/>
  <c r="A53" i="3"/>
  <c r="AH52" i="3"/>
  <c r="V52" i="3"/>
  <c r="U52" i="3"/>
  <c r="T52" i="3"/>
  <c r="S52" i="3"/>
  <c r="P52" i="3"/>
  <c r="O52" i="3"/>
  <c r="M52" i="3"/>
  <c r="L52" i="3"/>
  <c r="K52" i="3"/>
  <c r="F52" i="3"/>
  <c r="A52" i="3"/>
  <c r="AH51" i="3"/>
  <c r="V51" i="3"/>
  <c r="U51" i="3"/>
  <c r="T51" i="3"/>
  <c r="S51" i="3"/>
  <c r="Q51" i="3"/>
  <c r="P51" i="3"/>
  <c r="O51" i="3"/>
  <c r="M51" i="3"/>
  <c r="L51" i="3"/>
  <c r="K51" i="3"/>
  <c r="G51" i="3"/>
  <c r="F51" i="3"/>
  <c r="A51" i="3"/>
  <c r="AH50" i="3"/>
  <c r="V50" i="3"/>
  <c r="U50" i="3"/>
  <c r="T50" i="3"/>
  <c r="S50" i="3"/>
  <c r="P50" i="3"/>
  <c r="O50" i="3"/>
  <c r="M50" i="3"/>
  <c r="L50" i="3"/>
  <c r="K50" i="3"/>
  <c r="F50" i="3"/>
  <c r="A50" i="3"/>
  <c r="AH49" i="3"/>
  <c r="V49" i="3"/>
  <c r="U49" i="3"/>
  <c r="T49" i="3"/>
  <c r="S49" i="3"/>
  <c r="P49" i="3"/>
  <c r="O49" i="3"/>
  <c r="M49" i="3"/>
  <c r="L49" i="3"/>
  <c r="K49" i="3"/>
  <c r="F49" i="3"/>
  <c r="A49" i="3"/>
  <c r="AH48" i="3"/>
  <c r="V48" i="3"/>
  <c r="U48" i="3"/>
  <c r="T48" i="3"/>
  <c r="S48" i="3"/>
  <c r="R48" i="3"/>
  <c r="P48" i="3"/>
  <c r="O48" i="3"/>
  <c r="M48" i="3"/>
  <c r="L48" i="3"/>
  <c r="K48" i="3"/>
  <c r="F48" i="3"/>
  <c r="D48" i="3"/>
  <c r="A48" i="3"/>
  <c r="AH47" i="3"/>
  <c r="V47" i="3"/>
  <c r="U47" i="3"/>
  <c r="T47" i="3"/>
  <c r="S47" i="3"/>
  <c r="Q47" i="3"/>
  <c r="P47" i="3"/>
  <c r="O47" i="3"/>
  <c r="N47" i="3"/>
  <c r="M47" i="3"/>
  <c r="L47" i="3"/>
  <c r="K47" i="3"/>
  <c r="G47" i="3"/>
  <c r="F47" i="3"/>
  <c r="A47" i="3"/>
  <c r="AH46" i="3"/>
  <c r="V46" i="3"/>
  <c r="U46" i="3"/>
  <c r="T46" i="3"/>
  <c r="S46" i="3"/>
  <c r="P46" i="3"/>
  <c r="O46" i="3"/>
  <c r="N46" i="3"/>
  <c r="M46" i="3"/>
  <c r="L46" i="3"/>
  <c r="K46" i="3"/>
  <c r="F46" i="3"/>
  <c r="A46" i="3"/>
  <c r="AH45" i="3"/>
  <c r="V45" i="3"/>
  <c r="U45" i="3"/>
  <c r="T45" i="3"/>
  <c r="S45" i="3"/>
  <c r="P45" i="3"/>
  <c r="O45" i="3"/>
  <c r="N45" i="3"/>
  <c r="M45" i="3"/>
  <c r="L45" i="3"/>
  <c r="K45" i="3"/>
  <c r="F45" i="3"/>
  <c r="A45" i="3"/>
  <c r="AH44" i="3"/>
  <c r="V44" i="3"/>
  <c r="U44" i="3"/>
  <c r="T44" i="3"/>
  <c r="S44" i="3"/>
  <c r="P44" i="3"/>
  <c r="O44" i="3"/>
  <c r="M44" i="3"/>
  <c r="L44" i="3"/>
  <c r="K44" i="3"/>
  <c r="F44" i="3"/>
  <c r="A44" i="3"/>
  <c r="AH43" i="3"/>
  <c r="V43" i="3"/>
  <c r="U43" i="3"/>
  <c r="T43" i="3"/>
  <c r="S43" i="3"/>
  <c r="P43" i="3"/>
  <c r="O43" i="3"/>
  <c r="M43" i="3"/>
  <c r="L43" i="3"/>
  <c r="K43" i="3"/>
  <c r="F43" i="3"/>
  <c r="A43" i="3"/>
  <c r="AH42" i="3"/>
  <c r="V42" i="3"/>
  <c r="U42" i="3"/>
  <c r="T42" i="3"/>
  <c r="S42" i="3"/>
  <c r="P42" i="3"/>
  <c r="O42" i="3"/>
  <c r="M42" i="3"/>
  <c r="L42" i="3"/>
  <c r="K42" i="3"/>
  <c r="F42" i="3"/>
  <c r="A42" i="3"/>
  <c r="AH41" i="3"/>
  <c r="V41" i="3"/>
  <c r="U41" i="3"/>
  <c r="T41" i="3"/>
  <c r="S41" i="3"/>
  <c r="P41" i="3"/>
  <c r="O41" i="3"/>
  <c r="M41" i="3"/>
  <c r="L41" i="3"/>
  <c r="K41" i="3"/>
  <c r="F41" i="3"/>
  <c r="D41" i="3"/>
  <c r="A41" i="3"/>
  <c r="AH40" i="3"/>
  <c r="V40" i="3"/>
  <c r="U40" i="3"/>
  <c r="T40" i="3"/>
  <c r="S40" i="3"/>
  <c r="P40" i="3"/>
  <c r="O40" i="3"/>
  <c r="M40" i="3"/>
  <c r="L40" i="3"/>
  <c r="K40" i="3"/>
  <c r="F40" i="3"/>
  <c r="A40" i="3"/>
  <c r="AH39" i="3"/>
  <c r="V39" i="3"/>
  <c r="U39" i="3"/>
  <c r="T39" i="3"/>
  <c r="S39" i="3"/>
  <c r="P39" i="3"/>
  <c r="O39" i="3"/>
  <c r="M39" i="3"/>
  <c r="L39" i="3"/>
  <c r="K39" i="3"/>
  <c r="F39" i="3"/>
  <c r="A39" i="3"/>
  <c r="AH38" i="3"/>
  <c r="V38" i="3"/>
  <c r="U38" i="3"/>
  <c r="T38" i="3"/>
  <c r="S38" i="3"/>
  <c r="P38" i="3"/>
  <c r="O38" i="3"/>
  <c r="N38" i="3"/>
  <c r="M38" i="3"/>
  <c r="L38" i="3"/>
  <c r="K38" i="3"/>
  <c r="F38" i="3"/>
  <c r="A38" i="3"/>
  <c r="AH37" i="3"/>
  <c r="V37" i="3"/>
  <c r="U37" i="3"/>
  <c r="T37" i="3"/>
  <c r="S37" i="3"/>
  <c r="P37" i="3"/>
  <c r="O37" i="3"/>
  <c r="N37" i="3"/>
  <c r="M37" i="3"/>
  <c r="L37" i="3"/>
  <c r="K37" i="3"/>
  <c r="F37" i="3"/>
  <c r="A37" i="3"/>
  <c r="AH36" i="3"/>
  <c r="V36" i="3"/>
  <c r="U36" i="3"/>
  <c r="T36" i="3"/>
  <c r="S36" i="3"/>
  <c r="Q36" i="3"/>
  <c r="P36" i="3"/>
  <c r="O36" i="3"/>
  <c r="M36" i="3"/>
  <c r="L36" i="3"/>
  <c r="K36" i="3"/>
  <c r="G36" i="3"/>
  <c r="F36" i="3"/>
  <c r="A36" i="3"/>
  <c r="AH35" i="3"/>
  <c r="V35" i="3"/>
  <c r="U35" i="3"/>
  <c r="T35" i="3"/>
  <c r="S35" i="3"/>
  <c r="P35" i="3"/>
  <c r="O35" i="3"/>
  <c r="M35" i="3"/>
  <c r="L35" i="3"/>
  <c r="K35" i="3"/>
  <c r="F35" i="3"/>
  <c r="A35" i="3"/>
  <c r="AH34" i="3"/>
  <c r="V34" i="3"/>
  <c r="U34" i="3"/>
  <c r="T34" i="3"/>
  <c r="S34" i="3"/>
  <c r="P34" i="3"/>
  <c r="O34" i="3"/>
  <c r="M34" i="3"/>
  <c r="L34" i="3"/>
  <c r="K34" i="3"/>
  <c r="G34" i="3"/>
  <c r="F34" i="3"/>
  <c r="D34" i="3"/>
  <c r="A34" i="3"/>
  <c r="AH33" i="3"/>
  <c r="V33" i="3"/>
  <c r="U33" i="3"/>
  <c r="T33" i="3"/>
  <c r="S33" i="3"/>
  <c r="P33" i="3"/>
  <c r="O33" i="3"/>
  <c r="N33" i="3"/>
  <c r="M33" i="3"/>
  <c r="L33" i="3"/>
  <c r="K33" i="3"/>
  <c r="F33" i="3"/>
  <c r="A33" i="3"/>
  <c r="AH32" i="3"/>
  <c r="V32" i="3"/>
  <c r="U32" i="3"/>
  <c r="T32" i="3"/>
  <c r="S32" i="3"/>
  <c r="P32" i="3"/>
  <c r="O32" i="3"/>
  <c r="M32" i="3"/>
  <c r="L32" i="3"/>
  <c r="K32" i="3"/>
  <c r="F32" i="3"/>
  <c r="A32" i="3"/>
  <c r="AH31" i="3"/>
  <c r="V31" i="3"/>
  <c r="U31" i="3"/>
  <c r="T31" i="3"/>
  <c r="S31" i="3"/>
  <c r="P31" i="3"/>
  <c r="O31" i="3"/>
  <c r="N31" i="3"/>
  <c r="M31" i="3"/>
  <c r="L31" i="3"/>
  <c r="K31" i="3"/>
  <c r="F31" i="3"/>
  <c r="A31" i="3"/>
  <c r="AH30" i="3"/>
  <c r="V30" i="3"/>
  <c r="U30" i="3"/>
  <c r="T30" i="3"/>
  <c r="S30" i="3"/>
  <c r="P30" i="3"/>
  <c r="O30" i="3"/>
  <c r="N30" i="3"/>
  <c r="M30" i="3"/>
  <c r="L30" i="3"/>
  <c r="K30" i="3"/>
  <c r="F30" i="3"/>
  <c r="D30" i="3"/>
  <c r="A30" i="3"/>
  <c r="AH29" i="3"/>
  <c r="V29" i="3"/>
  <c r="U29" i="3"/>
  <c r="T29" i="3"/>
  <c r="S29" i="3"/>
  <c r="P29" i="3"/>
  <c r="O29" i="3"/>
  <c r="M29" i="3"/>
  <c r="L29" i="3"/>
  <c r="K29" i="3"/>
  <c r="F29" i="3"/>
  <c r="D29" i="3"/>
  <c r="A29" i="3"/>
  <c r="AH28" i="3"/>
  <c r="V28" i="3"/>
  <c r="U28" i="3"/>
  <c r="T28" i="3"/>
  <c r="S28" i="3"/>
  <c r="P28" i="3"/>
  <c r="O28" i="3"/>
  <c r="M28" i="3"/>
  <c r="L28" i="3"/>
  <c r="K28" i="3"/>
  <c r="F28" i="3"/>
  <c r="A28" i="3"/>
  <c r="AH27" i="3"/>
  <c r="V27" i="3"/>
  <c r="U27" i="3"/>
  <c r="T27" i="3"/>
  <c r="S27" i="3"/>
  <c r="P27" i="3"/>
  <c r="O27" i="3"/>
  <c r="N27" i="3"/>
  <c r="M27" i="3"/>
  <c r="L27" i="3"/>
  <c r="K27" i="3"/>
  <c r="F27" i="3"/>
  <c r="D27" i="3"/>
  <c r="A27" i="3"/>
  <c r="AH26" i="3"/>
  <c r="V26" i="3"/>
  <c r="U26" i="3"/>
  <c r="T26" i="3"/>
  <c r="S26" i="3"/>
  <c r="P26" i="3"/>
  <c r="O26" i="3"/>
  <c r="M26" i="3"/>
  <c r="L26" i="3"/>
  <c r="K26" i="3"/>
  <c r="F26" i="3"/>
  <c r="A26" i="3"/>
  <c r="AH25" i="3"/>
  <c r="V25" i="3"/>
  <c r="U25" i="3"/>
  <c r="T25" i="3"/>
  <c r="S25" i="3"/>
  <c r="P25" i="3"/>
  <c r="O25" i="3"/>
  <c r="M25" i="3"/>
  <c r="L25" i="3"/>
  <c r="K25" i="3"/>
  <c r="F25" i="3"/>
  <c r="A25" i="3"/>
  <c r="AH24" i="3"/>
  <c r="V24" i="3"/>
  <c r="U24" i="3"/>
  <c r="T24" i="3"/>
  <c r="S24" i="3"/>
  <c r="P24" i="3"/>
  <c r="O24" i="3"/>
  <c r="M24" i="3"/>
  <c r="L24" i="3"/>
  <c r="K24" i="3"/>
  <c r="F24" i="3"/>
  <c r="A24" i="3"/>
  <c r="AH23" i="3"/>
  <c r="V23" i="3"/>
  <c r="U23" i="3"/>
  <c r="T23" i="3"/>
  <c r="S23" i="3"/>
  <c r="P23" i="3"/>
  <c r="O23" i="3"/>
  <c r="N23" i="3"/>
  <c r="M23" i="3"/>
  <c r="L23" i="3"/>
  <c r="K23" i="3"/>
  <c r="F23" i="3"/>
  <c r="A23" i="3"/>
  <c r="AH22" i="3"/>
  <c r="V22" i="3"/>
  <c r="U22" i="3"/>
  <c r="T22" i="3"/>
  <c r="S22" i="3"/>
  <c r="P22" i="3"/>
  <c r="O22" i="3"/>
  <c r="M22" i="3"/>
  <c r="L22" i="3"/>
  <c r="K22" i="3"/>
  <c r="F22" i="3"/>
  <c r="A22" i="3"/>
  <c r="AH21" i="3"/>
  <c r="V21" i="3"/>
  <c r="U21" i="3"/>
  <c r="T21" i="3"/>
  <c r="S21" i="3"/>
  <c r="P21" i="3"/>
  <c r="O21" i="3"/>
  <c r="N21" i="3"/>
  <c r="M21" i="3"/>
  <c r="L21" i="3"/>
  <c r="K21" i="3"/>
  <c r="F21" i="3"/>
  <c r="A21" i="3"/>
  <c r="AH20" i="3"/>
  <c r="V20" i="3"/>
  <c r="U20" i="3"/>
  <c r="T20" i="3"/>
  <c r="S20" i="3"/>
  <c r="P20" i="3"/>
  <c r="O20" i="3"/>
  <c r="M20" i="3"/>
  <c r="L20" i="3"/>
  <c r="K20" i="3"/>
  <c r="F20" i="3"/>
  <c r="A20" i="3"/>
  <c r="AH19" i="3"/>
  <c r="V19" i="3"/>
  <c r="U19" i="3"/>
  <c r="T19" i="3"/>
  <c r="S19" i="3"/>
  <c r="P19" i="3"/>
  <c r="O19" i="3"/>
  <c r="M19" i="3"/>
  <c r="L19" i="3"/>
  <c r="K19" i="3"/>
  <c r="F19" i="3"/>
  <c r="D19" i="3"/>
  <c r="A19" i="3"/>
  <c r="AH18" i="3"/>
  <c r="V18" i="3"/>
  <c r="U18" i="3"/>
  <c r="T18" i="3"/>
  <c r="S18" i="3"/>
  <c r="P18" i="3"/>
  <c r="O18" i="3"/>
  <c r="N18" i="3"/>
  <c r="M18" i="3"/>
  <c r="L18" i="3"/>
  <c r="K18" i="3"/>
  <c r="F18" i="3"/>
  <c r="E18" i="3"/>
  <c r="D18" i="3"/>
  <c r="A18" i="3"/>
  <c r="AH17" i="3"/>
  <c r="V17" i="3"/>
  <c r="U17" i="3"/>
  <c r="T17" i="3"/>
  <c r="S17" i="3"/>
  <c r="P17" i="3"/>
  <c r="O17" i="3"/>
  <c r="N17" i="3"/>
  <c r="M17" i="3"/>
  <c r="L17" i="3"/>
  <c r="K17" i="3"/>
  <c r="F17" i="3"/>
  <c r="D17" i="3"/>
  <c r="A17" i="3"/>
  <c r="AH16" i="3"/>
  <c r="V16" i="3"/>
  <c r="U16" i="3"/>
  <c r="T16" i="3"/>
  <c r="S16" i="3"/>
  <c r="Q16" i="3"/>
  <c r="P16" i="3"/>
  <c r="O16" i="3"/>
  <c r="M16" i="3"/>
  <c r="L16" i="3"/>
  <c r="K16" i="3"/>
  <c r="G16" i="3"/>
  <c r="F16" i="3"/>
  <c r="D16" i="3"/>
  <c r="A16" i="3"/>
  <c r="AH15" i="3"/>
  <c r="V15" i="3"/>
  <c r="U15" i="3"/>
  <c r="T15" i="3"/>
  <c r="S15" i="3"/>
  <c r="P15" i="3"/>
  <c r="O15" i="3"/>
  <c r="N15" i="3"/>
  <c r="M15" i="3"/>
  <c r="L15" i="3"/>
  <c r="K15" i="3"/>
  <c r="F15" i="3"/>
  <c r="A15" i="3"/>
  <c r="AH14" i="3"/>
  <c r="V14" i="3"/>
  <c r="U14" i="3"/>
  <c r="T14" i="3"/>
  <c r="S14" i="3"/>
  <c r="P14" i="3"/>
  <c r="O14" i="3"/>
  <c r="N14" i="3"/>
  <c r="M14" i="3"/>
  <c r="L14" i="3"/>
  <c r="K14" i="3"/>
  <c r="F14" i="3"/>
  <c r="A14" i="3"/>
  <c r="AH13" i="3"/>
  <c r="V13" i="3"/>
  <c r="U13" i="3"/>
  <c r="T13" i="3"/>
  <c r="S13" i="3"/>
  <c r="Q13" i="3"/>
  <c r="P13" i="3"/>
  <c r="O13" i="3"/>
  <c r="M13" i="3"/>
  <c r="L13" i="3"/>
  <c r="K13" i="3"/>
  <c r="G13" i="3"/>
  <c r="F13" i="3"/>
  <c r="D13" i="3"/>
  <c r="A13" i="3"/>
  <c r="AH12" i="3"/>
  <c r="V12" i="3"/>
  <c r="U12" i="3"/>
  <c r="T12" i="3"/>
  <c r="S12" i="3"/>
  <c r="Q12" i="3"/>
  <c r="P12" i="3"/>
  <c r="O12" i="3"/>
  <c r="M12" i="3"/>
  <c r="L12" i="3"/>
  <c r="K12" i="3"/>
  <c r="G12" i="3"/>
  <c r="F12" i="3"/>
  <c r="A12" i="3"/>
  <c r="AH11" i="3"/>
  <c r="V11" i="3"/>
  <c r="U11" i="3"/>
  <c r="T11" i="3"/>
  <c r="S11" i="3"/>
  <c r="Q11" i="3"/>
  <c r="P11" i="3"/>
  <c r="O11" i="3"/>
  <c r="M11" i="3"/>
  <c r="L11" i="3"/>
  <c r="K11" i="3"/>
  <c r="G11" i="3"/>
  <c r="F11" i="3"/>
  <c r="A11" i="3"/>
  <c r="AH10" i="3"/>
  <c r="V10" i="3"/>
  <c r="U10" i="3"/>
  <c r="T10" i="3"/>
  <c r="S10" i="3"/>
  <c r="P10" i="3"/>
  <c r="O10" i="3"/>
  <c r="M10" i="3"/>
  <c r="L10" i="3"/>
  <c r="K10" i="3"/>
  <c r="F10" i="3"/>
  <c r="D10" i="3"/>
  <c r="A10" i="3"/>
  <c r="AH9" i="3"/>
  <c r="V9" i="3"/>
  <c r="U9" i="3"/>
  <c r="T9" i="3"/>
  <c r="S9" i="3"/>
  <c r="P9" i="3"/>
  <c r="O9" i="3"/>
  <c r="N9" i="3"/>
  <c r="M9" i="3"/>
  <c r="L9" i="3"/>
  <c r="K9" i="3"/>
  <c r="F9" i="3"/>
  <c r="A9" i="3"/>
  <c r="AH8" i="3"/>
  <c r="V8" i="3"/>
  <c r="U8" i="3"/>
  <c r="T8" i="3"/>
  <c r="S8" i="3"/>
  <c r="P8" i="3"/>
  <c r="O8" i="3"/>
  <c r="M8" i="3"/>
  <c r="L8" i="3"/>
  <c r="K8" i="3"/>
  <c r="F8" i="3"/>
  <c r="D8" i="3"/>
  <c r="A8" i="3"/>
  <c r="AH7" i="3"/>
  <c r="V7" i="3"/>
  <c r="U7" i="3"/>
  <c r="T7" i="3"/>
  <c r="S7" i="3"/>
  <c r="P7" i="3"/>
  <c r="O7" i="3"/>
  <c r="M7" i="3"/>
  <c r="L7" i="3"/>
  <c r="K7" i="3"/>
  <c r="F7" i="3"/>
  <c r="A7" i="3"/>
  <c r="AH6" i="3"/>
  <c r="V6" i="3"/>
  <c r="U6" i="3"/>
  <c r="T6" i="3"/>
  <c r="S6" i="3"/>
  <c r="P6" i="3"/>
  <c r="O6" i="3"/>
  <c r="N6" i="3"/>
  <c r="M6" i="3"/>
  <c r="L6" i="3"/>
  <c r="K6" i="3"/>
  <c r="F6" i="3"/>
  <c r="D6" i="3"/>
  <c r="A6" i="3"/>
  <c r="E33" i="63"/>
  <c r="E31" i="63"/>
  <c r="E30" i="63"/>
  <c r="D30" i="63"/>
  <c r="E29" i="63"/>
  <c r="D29" i="63"/>
  <c r="E28" i="63"/>
  <c r="D28" i="63"/>
  <c r="E27" i="63"/>
  <c r="D27" i="63"/>
  <c r="E26" i="63"/>
  <c r="D26" i="63"/>
  <c r="E25" i="63"/>
  <c r="E24" i="63"/>
  <c r="D24" i="63"/>
  <c r="E23" i="63"/>
  <c r="D23" i="63"/>
  <c r="E22" i="63"/>
  <c r="E20" i="63"/>
  <c r="E19" i="63"/>
  <c r="F14" i="63"/>
  <c r="E14" i="63"/>
  <c r="F13" i="63"/>
  <c r="E13" i="63"/>
  <c r="F12" i="63"/>
  <c r="E12" i="63"/>
  <c r="F11" i="63"/>
  <c r="E11" i="63"/>
  <c r="F6" i="63"/>
  <c r="F4" i="63"/>
  <c r="R144" i="14"/>
  <c r="R134" i="14"/>
  <c r="R133" i="14"/>
  <c r="R135" i="14" s="1"/>
  <c r="R140" i="14" s="1"/>
  <c r="Q132" i="14"/>
  <c r="Q129" i="14"/>
  <c r="Q128" i="14"/>
  <c r="Q130" i="14" s="1"/>
  <c r="P126" i="14"/>
  <c r="M126" i="14"/>
  <c r="L126" i="14"/>
  <c r="Y122" i="14"/>
  <c r="X122" i="14"/>
  <c r="W122" i="14"/>
  <c r="V122" i="14"/>
  <c r="U122" i="14"/>
  <c r="T122" i="14"/>
  <c r="S122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E122" i="14"/>
  <c r="D122" i="14"/>
  <c r="A122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D120" i="14"/>
  <c r="V119" i="14"/>
  <c r="U119" i="14"/>
  <c r="T119" i="14"/>
  <c r="S119" i="14"/>
  <c r="P119" i="14"/>
  <c r="O119" i="14"/>
  <c r="M119" i="14"/>
  <c r="L119" i="14"/>
  <c r="K119" i="14"/>
  <c r="A119" i="14"/>
  <c r="V118" i="14"/>
  <c r="U118" i="14"/>
  <c r="T118" i="14"/>
  <c r="S118" i="14"/>
  <c r="P118" i="14"/>
  <c r="O118" i="14"/>
  <c r="M118" i="14"/>
  <c r="L118" i="14"/>
  <c r="K118" i="14"/>
  <c r="A118" i="14"/>
  <c r="V117" i="14"/>
  <c r="U117" i="14"/>
  <c r="T117" i="14"/>
  <c r="S117" i="14"/>
  <c r="P117" i="14"/>
  <c r="O117" i="14"/>
  <c r="M117" i="14"/>
  <c r="L117" i="14"/>
  <c r="K117" i="14"/>
  <c r="F117" i="14"/>
  <c r="A117" i="14"/>
  <c r="V116" i="14"/>
  <c r="U116" i="14"/>
  <c r="T116" i="14"/>
  <c r="S116" i="14"/>
  <c r="P116" i="14"/>
  <c r="O116" i="14"/>
  <c r="M116" i="14"/>
  <c r="L116" i="14"/>
  <c r="K116" i="14"/>
  <c r="F116" i="14"/>
  <c r="A116" i="14"/>
  <c r="V115" i="14"/>
  <c r="U115" i="14"/>
  <c r="T115" i="14"/>
  <c r="S115" i="14"/>
  <c r="P115" i="14"/>
  <c r="O115" i="14"/>
  <c r="M115" i="14"/>
  <c r="L115" i="14"/>
  <c r="K115" i="14"/>
  <c r="F115" i="14"/>
  <c r="A115" i="14"/>
  <c r="V114" i="14"/>
  <c r="U114" i="14"/>
  <c r="T114" i="14"/>
  <c r="S114" i="14"/>
  <c r="P114" i="14"/>
  <c r="O114" i="14"/>
  <c r="M114" i="14"/>
  <c r="L114" i="14"/>
  <c r="K114" i="14"/>
  <c r="F114" i="14"/>
  <c r="A114" i="14"/>
  <c r="V113" i="14"/>
  <c r="U113" i="14"/>
  <c r="T113" i="14"/>
  <c r="S113" i="14"/>
  <c r="P113" i="14"/>
  <c r="O113" i="14"/>
  <c r="M113" i="14"/>
  <c r="L113" i="14"/>
  <c r="K113" i="14"/>
  <c r="F113" i="14"/>
  <c r="A113" i="14"/>
  <c r="V112" i="14"/>
  <c r="U112" i="14"/>
  <c r="T112" i="14"/>
  <c r="S112" i="14"/>
  <c r="P112" i="14"/>
  <c r="O112" i="14"/>
  <c r="M112" i="14"/>
  <c r="L112" i="14"/>
  <c r="K112" i="14"/>
  <c r="F112" i="14"/>
  <c r="A112" i="14"/>
  <c r="V111" i="14"/>
  <c r="U111" i="14"/>
  <c r="T111" i="14"/>
  <c r="S111" i="14"/>
  <c r="P111" i="14"/>
  <c r="O111" i="14"/>
  <c r="M111" i="14"/>
  <c r="L111" i="14"/>
  <c r="K111" i="14"/>
  <c r="F111" i="14"/>
  <c r="A111" i="14"/>
  <c r="V110" i="14"/>
  <c r="U110" i="14"/>
  <c r="T110" i="14"/>
  <c r="S110" i="14"/>
  <c r="P110" i="14"/>
  <c r="O110" i="14"/>
  <c r="M110" i="14"/>
  <c r="L110" i="14"/>
  <c r="K110" i="14"/>
  <c r="F110" i="14"/>
  <c r="A110" i="14"/>
  <c r="V109" i="14"/>
  <c r="U109" i="14"/>
  <c r="T109" i="14"/>
  <c r="S109" i="14"/>
  <c r="P109" i="14"/>
  <c r="O109" i="14"/>
  <c r="M109" i="14"/>
  <c r="L109" i="14"/>
  <c r="K109" i="14"/>
  <c r="G109" i="14"/>
  <c r="F109" i="14"/>
  <c r="A109" i="14"/>
  <c r="V108" i="14"/>
  <c r="U108" i="14"/>
  <c r="T108" i="14"/>
  <c r="S108" i="14"/>
  <c r="P108" i="14"/>
  <c r="O108" i="14"/>
  <c r="M108" i="14"/>
  <c r="L108" i="14"/>
  <c r="K108" i="14"/>
  <c r="F108" i="14"/>
  <c r="A108" i="14"/>
  <c r="V107" i="14"/>
  <c r="U107" i="14"/>
  <c r="T107" i="14"/>
  <c r="S107" i="14"/>
  <c r="P107" i="14"/>
  <c r="O107" i="14"/>
  <c r="M107" i="14"/>
  <c r="L107" i="14"/>
  <c r="K107" i="14"/>
  <c r="F107" i="14"/>
  <c r="A107" i="14"/>
  <c r="V106" i="14"/>
  <c r="U106" i="14"/>
  <c r="T106" i="14"/>
  <c r="S106" i="14"/>
  <c r="P106" i="14"/>
  <c r="O106" i="14"/>
  <c r="M106" i="14"/>
  <c r="L106" i="14"/>
  <c r="K106" i="14"/>
  <c r="F106" i="14"/>
  <c r="A106" i="14"/>
  <c r="V105" i="14"/>
  <c r="U105" i="14"/>
  <c r="T105" i="14"/>
  <c r="S105" i="14"/>
  <c r="P105" i="14"/>
  <c r="O105" i="14"/>
  <c r="M105" i="14"/>
  <c r="L105" i="14"/>
  <c r="K105" i="14"/>
  <c r="G105" i="14"/>
  <c r="F105" i="14"/>
  <c r="A105" i="14"/>
  <c r="V104" i="14"/>
  <c r="U104" i="14"/>
  <c r="T104" i="14"/>
  <c r="S104" i="14"/>
  <c r="P104" i="14"/>
  <c r="O104" i="14"/>
  <c r="M104" i="14"/>
  <c r="L104" i="14"/>
  <c r="K104" i="14"/>
  <c r="F104" i="14"/>
  <c r="A104" i="14"/>
  <c r="Y101" i="14"/>
  <c r="X101" i="14"/>
  <c r="W101" i="14"/>
  <c r="V101" i="14"/>
  <c r="U101" i="14"/>
  <c r="T101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D101" i="14"/>
  <c r="V100" i="14"/>
  <c r="U100" i="14"/>
  <c r="S100" i="14"/>
  <c r="O100" i="14"/>
  <c r="M100" i="14"/>
  <c r="F100" i="14"/>
  <c r="A100" i="14"/>
  <c r="V99" i="14"/>
  <c r="U99" i="14"/>
  <c r="S99" i="14"/>
  <c r="O99" i="14"/>
  <c r="N99" i="14"/>
  <c r="M99" i="14"/>
  <c r="F99" i="14"/>
  <c r="A99" i="14"/>
  <c r="V98" i="14"/>
  <c r="U98" i="14"/>
  <c r="S98" i="14"/>
  <c r="O98" i="14"/>
  <c r="N98" i="14"/>
  <c r="M98" i="14"/>
  <c r="F98" i="14"/>
  <c r="A98" i="14"/>
  <c r="V97" i="14"/>
  <c r="U97" i="14"/>
  <c r="S97" i="14"/>
  <c r="O97" i="14"/>
  <c r="M97" i="14"/>
  <c r="F97" i="14"/>
  <c r="A97" i="14"/>
  <c r="V96" i="14"/>
  <c r="U96" i="14"/>
  <c r="T96" i="14"/>
  <c r="S96" i="14"/>
  <c r="P96" i="14"/>
  <c r="O96" i="14"/>
  <c r="M96" i="14"/>
  <c r="L96" i="14"/>
  <c r="K96" i="14"/>
  <c r="A96" i="14"/>
  <c r="V95" i="14"/>
  <c r="U95" i="14"/>
  <c r="T95" i="14"/>
  <c r="S95" i="14"/>
  <c r="P95" i="14"/>
  <c r="O95" i="14"/>
  <c r="M95" i="14"/>
  <c r="L95" i="14"/>
  <c r="K95" i="14"/>
  <c r="A95" i="14"/>
  <c r="V94" i="14"/>
  <c r="U94" i="14"/>
  <c r="T94" i="14"/>
  <c r="S94" i="14"/>
  <c r="P94" i="14"/>
  <c r="O94" i="14"/>
  <c r="M94" i="14"/>
  <c r="L94" i="14"/>
  <c r="K94" i="14"/>
  <c r="F94" i="14"/>
  <c r="A94" i="14"/>
  <c r="V93" i="14"/>
  <c r="U93" i="14"/>
  <c r="T93" i="14"/>
  <c r="S93" i="14"/>
  <c r="P93" i="14"/>
  <c r="O93" i="14"/>
  <c r="M93" i="14"/>
  <c r="L93" i="14"/>
  <c r="K93" i="14"/>
  <c r="F93" i="14"/>
  <c r="A93" i="14"/>
  <c r="V92" i="14"/>
  <c r="U92" i="14"/>
  <c r="T92" i="14"/>
  <c r="S92" i="14"/>
  <c r="P92" i="14"/>
  <c r="O92" i="14"/>
  <c r="M92" i="14"/>
  <c r="L92" i="14"/>
  <c r="K92" i="14"/>
  <c r="F92" i="14"/>
  <c r="A92" i="14"/>
  <c r="V91" i="14"/>
  <c r="U91" i="14"/>
  <c r="T91" i="14"/>
  <c r="S91" i="14"/>
  <c r="P91" i="14"/>
  <c r="O91" i="14"/>
  <c r="M91" i="14"/>
  <c r="L91" i="14"/>
  <c r="K91" i="14"/>
  <c r="F91" i="14"/>
  <c r="A91" i="14"/>
  <c r="V90" i="14"/>
  <c r="U90" i="14"/>
  <c r="T90" i="14"/>
  <c r="S90" i="14"/>
  <c r="P90" i="14"/>
  <c r="O90" i="14"/>
  <c r="M90" i="14"/>
  <c r="L90" i="14"/>
  <c r="K90" i="14"/>
  <c r="F90" i="14"/>
  <c r="A90" i="14"/>
  <c r="V89" i="14"/>
  <c r="U89" i="14"/>
  <c r="T89" i="14"/>
  <c r="S89" i="14"/>
  <c r="P89" i="14"/>
  <c r="O89" i="14"/>
  <c r="M89" i="14"/>
  <c r="L89" i="14"/>
  <c r="K89" i="14"/>
  <c r="F89" i="14"/>
  <c r="A89" i="14"/>
  <c r="V88" i="14"/>
  <c r="U88" i="14"/>
  <c r="T88" i="14"/>
  <c r="S88" i="14"/>
  <c r="P88" i="14"/>
  <c r="O88" i="14"/>
  <c r="M88" i="14"/>
  <c r="L88" i="14"/>
  <c r="K88" i="14"/>
  <c r="F88" i="14"/>
  <c r="A88" i="14"/>
  <c r="V87" i="14"/>
  <c r="U87" i="14"/>
  <c r="T87" i="14"/>
  <c r="S87" i="14"/>
  <c r="P87" i="14"/>
  <c r="O87" i="14"/>
  <c r="M87" i="14"/>
  <c r="L87" i="14"/>
  <c r="K87" i="14"/>
  <c r="F87" i="14"/>
  <c r="A87" i="14"/>
  <c r="V86" i="14"/>
  <c r="U86" i="14"/>
  <c r="T86" i="14"/>
  <c r="S86" i="14"/>
  <c r="P86" i="14"/>
  <c r="O86" i="14"/>
  <c r="M86" i="14"/>
  <c r="L86" i="14"/>
  <c r="K86" i="14"/>
  <c r="F86" i="14"/>
  <c r="A86" i="14"/>
  <c r="V85" i="14"/>
  <c r="U85" i="14"/>
  <c r="T85" i="14"/>
  <c r="S85" i="14"/>
  <c r="P85" i="14"/>
  <c r="O85" i="14"/>
  <c r="M85" i="14"/>
  <c r="L85" i="14"/>
  <c r="K85" i="14"/>
  <c r="F85" i="14"/>
  <c r="A85" i="14"/>
  <c r="V84" i="14"/>
  <c r="U84" i="14"/>
  <c r="T84" i="14"/>
  <c r="S84" i="14"/>
  <c r="P84" i="14"/>
  <c r="O84" i="14"/>
  <c r="M84" i="14"/>
  <c r="L84" i="14"/>
  <c r="K84" i="14"/>
  <c r="F84" i="14"/>
  <c r="A84" i="14"/>
  <c r="V83" i="14"/>
  <c r="U83" i="14"/>
  <c r="T83" i="14"/>
  <c r="S83" i="14"/>
  <c r="P83" i="14"/>
  <c r="O83" i="14"/>
  <c r="M83" i="14"/>
  <c r="L83" i="14"/>
  <c r="K83" i="14"/>
  <c r="F83" i="14"/>
  <c r="A83" i="14"/>
  <c r="V82" i="14"/>
  <c r="U82" i="14"/>
  <c r="T82" i="14"/>
  <c r="S82" i="14"/>
  <c r="P82" i="14"/>
  <c r="O82" i="14"/>
  <c r="M82" i="14"/>
  <c r="L82" i="14"/>
  <c r="K82" i="14"/>
  <c r="F82" i="14"/>
  <c r="A82" i="14"/>
  <c r="V81" i="14"/>
  <c r="U81" i="14"/>
  <c r="T81" i="14"/>
  <c r="S81" i="14"/>
  <c r="P81" i="14"/>
  <c r="O81" i="14"/>
  <c r="N81" i="14"/>
  <c r="M81" i="14"/>
  <c r="L81" i="14"/>
  <c r="K81" i="14"/>
  <c r="F81" i="14"/>
  <c r="A81" i="14"/>
  <c r="V80" i="14"/>
  <c r="U80" i="14"/>
  <c r="T80" i="14"/>
  <c r="S80" i="14"/>
  <c r="P80" i="14"/>
  <c r="O80" i="14"/>
  <c r="N80" i="14"/>
  <c r="M80" i="14"/>
  <c r="L80" i="14"/>
  <c r="K80" i="14"/>
  <c r="F80" i="14"/>
  <c r="A80" i="14"/>
  <c r="V79" i="14"/>
  <c r="U79" i="14"/>
  <c r="T79" i="14"/>
  <c r="S79" i="14"/>
  <c r="P79" i="14"/>
  <c r="O79" i="14"/>
  <c r="M79" i="14"/>
  <c r="L79" i="14"/>
  <c r="K79" i="14"/>
  <c r="F79" i="14"/>
  <c r="D79" i="14"/>
  <c r="A79" i="14"/>
  <c r="V78" i="14"/>
  <c r="U78" i="14"/>
  <c r="T78" i="14"/>
  <c r="S78" i="14"/>
  <c r="P78" i="14"/>
  <c r="O78" i="14"/>
  <c r="M78" i="14"/>
  <c r="L78" i="14"/>
  <c r="K78" i="14"/>
  <c r="F78" i="14"/>
  <c r="A78" i="14"/>
  <c r="V77" i="14"/>
  <c r="U77" i="14"/>
  <c r="T77" i="14"/>
  <c r="S77" i="14"/>
  <c r="P77" i="14"/>
  <c r="O77" i="14"/>
  <c r="M77" i="14"/>
  <c r="L77" i="14"/>
  <c r="K77" i="14"/>
  <c r="F77" i="14"/>
  <c r="D77" i="14"/>
  <c r="A77" i="14"/>
  <c r="V76" i="14"/>
  <c r="U76" i="14"/>
  <c r="T76" i="14"/>
  <c r="S76" i="14"/>
  <c r="P76" i="14"/>
  <c r="O76" i="14"/>
  <c r="M76" i="14"/>
  <c r="L76" i="14"/>
  <c r="K76" i="14"/>
  <c r="F76" i="14"/>
  <c r="D76" i="14"/>
  <c r="A76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V72" i="14"/>
  <c r="U72" i="14"/>
  <c r="O72" i="14"/>
  <c r="F72" i="14"/>
  <c r="A72" i="14"/>
  <c r="V71" i="14"/>
  <c r="U71" i="14"/>
  <c r="S71" i="14"/>
  <c r="P71" i="14"/>
  <c r="O71" i="14"/>
  <c r="M71" i="14"/>
  <c r="F71" i="14"/>
  <c r="D71" i="14"/>
  <c r="A71" i="14"/>
  <c r="V70" i="14"/>
  <c r="U70" i="14"/>
  <c r="S70" i="14"/>
  <c r="M70" i="14"/>
  <c r="F70" i="14"/>
  <c r="D70" i="14"/>
  <c r="A70" i="14"/>
  <c r="V69" i="14"/>
  <c r="U69" i="14"/>
  <c r="T69" i="14"/>
  <c r="S69" i="14"/>
  <c r="P69" i="14"/>
  <c r="O69" i="14"/>
  <c r="M69" i="14"/>
  <c r="L69" i="14"/>
  <c r="K69" i="14"/>
  <c r="F69" i="14"/>
  <c r="A69" i="14"/>
  <c r="V68" i="14"/>
  <c r="U68" i="14"/>
  <c r="T68" i="14"/>
  <c r="S68" i="14"/>
  <c r="P68" i="14"/>
  <c r="O68" i="14"/>
  <c r="M68" i="14"/>
  <c r="L68" i="14"/>
  <c r="K68" i="14"/>
  <c r="G68" i="14"/>
  <c r="A68" i="14"/>
  <c r="V67" i="14"/>
  <c r="U67" i="14"/>
  <c r="T67" i="14"/>
  <c r="S67" i="14"/>
  <c r="P67" i="14"/>
  <c r="O67" i="14"/>
  <c r="M67" i="14"/>
  <c r="L67" i="14"/>
  <c r="K67" i="14"/>
  <c r="A67" i="14"/>
  <c r="V66" i="14"/>
  <c r="U66" i="14"/>
  <c r="T66" i="14"/>
  <c r="S66" i="14"/>
  <c r="P66" i="14"/>
  <c r="O66" i="14"/>
  <c r="M66" i="14"/>
  <c r="L66" i="14"/>
  <c r="K66" i="14"/>
  <c r="F66" i="14"/>
  <c r="D66" i="14"/>
  <c r="A66" i="14"/>
  <c r="V65" i="14"/>
  <c r="U65" i="14"/>
  <c r="T65" i="14"/>
  <c r="S65" i="14"/>
  <c r="P65" i="14"/>
  <c r="O65" i="14"/>
  <c r="M65" i="14"/>
  <c r="L65" i="14"/>
  <c r="K65" i="14"/>
  <c r="F65" i="14"/>
  <c r="A65" i="14"/>
  <c r="V64" i="14"/>
  <c r="U64" i="14"/>
  <c r="T64" i="14"/>
  <c r="S64" i="14"/>
  <c r="P64" i="14"/>
  <c r="O64" i="14"/>
  <c r="M64" i="14"/>
  <c r="L64" i="14"/>
  <c r="K64" i="14"/>
  <c r="F64" i="14"/>
  <c r="D64" i="14"/>
  <c r="A64" i="14"/>
  <c r="V63" i="14"/>
  <c r="U63" i="14"/>
  <c r="T63" i="14"/>
  <c r="S63" i="14"/>
  <c r="P63" i="14"/>
  <c r="O63" i="14"/>
  <c r="M63" i="14"/>
  <c r="L63" i="14"/>
  <c r="K63" i="14"/>
  <c r="F63" i="14"/>
  <c r="A63" i="14"/>
  <c r="V62" i="14"/>
  <c r="U62" i="14"/>
  <c r="T62" i="14"/>
  <c r="S62" i="14"/>
  <c r="P62" i="14"/>
  <c r="O62" i="14"/>
  <c r="M62" i="14"/>
  <c r="L62" i="14"/>
  <c r="K62" i="14"/>
  <c r="F62" i="14"/>
  <c r="A62" i="14"/>
  <c r="V61" i="14"/>
  <c r="U61" i="14"/>
  <c r="T61" i="14"/>
  <c r="S61" i="14"/>
  <c r="P61" i="14"/>
  <c r="O61" i="14"/>
  <c r="M61" i="14"/>
  <c r="L61" i="14"/>
  <c r="K61" i="14"/>
  <c r="F61" i="14"/>
  <c r="A61" i="14"/>
  <c r="V60" i="14"/>
  <c r="U60" i="14"/>
  <c r="T60" i="14"/>
  <c r="S60" i="14"/>
  <c r="P60" i="14"/>
  <c r="O60" i="14"/>
  <c r="M60" i="14"/>
  <c r="L60" i="14"/>
  <c r="K60" i="14"/>
  <c r="F60" i="14"/>
  <c r="D60" i="14"/>
  <c r="A60" i="14"/>
  <c r="V59" i="14"/>
  <c r="U59" i="14"/>
  <c r="T59" i="14"/>
  <c r="S59" i="14"/>
  <c r="P59" i="14"/>
  <c r="O59" i="14"/>
  <c r="M59" i="14"/>
  <c r="L59" i="14"/>
  <c r="K59" i="14"/>
  <c r="F59" i="14"/>
  <c r="A59" i="14"/>
  <c r="V58" i="14"/>
  <c r="U58" i="14"/>
  <c r="T58" i="14"/>
  <c r="S58" i="14"/>
  <c r="P58" i="14"/>
  <c r="O58" i="14"/>
  <c r="M58" i="14"/>
  <c r="L58" i="14"/>
  <c r="K58" i="14"/>
  <c r="F58" i="14"/>
  <c r="A58" i="14"/>
  <c r="V57" i="14"/>
  <c r="U57" i="14"/>
  <c r="T57" i="14"/>
  <c r="S57" i="14"/>
  <c r="P57" i="14"/>
  <c r="O57" i="14"/>
  <c r="M57" i="14"/>
  <c r="L57" i="14"/>
  <c r="K57" i="14"/>
  <c r="F57" i="14"/>
  <c r="A57" i="14"/>
  <c r="V56" i="14"/>
  <c r="U56" i="14"/>
  <c r="T56" i="14"/>
  <c r="S56" i="14"/>
  <c r="P56" i="14"/>
  <c r="O56" i="14"/>
  <c r="M56" i="14"/>
  <c r="L56" i="14"/>
  <c r="K56" i="14"/>
  <c r="F56" i="14"/>
  <c r="D56" i="14"/>
  <c r="A56" i="14"/>
  <c r="V55" i="14"/>
  <c r="U55" i="14"/>
  <c r="T55" i="14"/>
  <c r="S55" i="14"/>
  <c r="P55" i="14"/>
  <c r="O55" i="14"/>
  <c r="M55" i="14"/>
  <c r="L55" i="14"/>
  <c r="K55" i="14"/>
  <c r="F55" i="14"/>
  <c r="D55" i="14"/>
  <c r="A55" i="14"/>
  <c r="V54" i="14"/>
  <c r="U54" i="14"/>
  <c r="T54" i="14"/>
  <c r="S54" i="14"/>
  <c r="P54" i="14"/>
  <c r="O54" i="14"/>
  <c r="M54" i="14"/>
  <c r="L54" i="14"/>
  <c r="K54" i="14"/>
  <c r="F54" i="14"/>
  <c r="A54" i="14"/>
  <c r="V53" i="14"/>
  <c r="U53" i="14"/>
  <c r="T53" i="14"/>
  <c r="S53" i="14"/>
  <c r="P53" i="14"/>
  <c r="O53" i="14"/>
  <c r="M53" i="14"/>
  <c r="L53" i="14"/>
  <c r="K53" i="14"/>
  <c r="F53" i="14"/>
  <c r="A53" i="14"/>
  <c r="V52" i="14"/>
  <c r="U52" i="14"/>
  <c r="T52" i="14"/>
  <c r="S52" i="14"/>
  <c r="P52" i="14"/>
  <c r="O52" i="14"/>
  <c r="M52" i="14"/>
  <c r="L52" i="14"/>
  <c r="K52" i="14"/>
  <c r="F52" i="14"/>
  <c r="A52" i="14"/>
  <c r="V51" i="14"/>
  <c r="U51" i="14"/>
  <c r="T51" i="14"/>
  <c r="S51" i="14"/>
  <c r="P51" i="14"/>
  <c r="O51" i="14"/>
  <c r="M51" i="14"/>
  <c r="L51" i="14"/>
  <c r="K51" i="14"/>
  <c r="F51" i="14"/>
  <c r="A51" i="14"/>
  <c r="V50" i="14"/>
  <c r="U50" i="14"/>
  <c r="T50" i="14"/>
  <c r="S50" i="14"/>
  <c r="P50" i="14"/>
  <c r="O50" i="14"/>
  <c r="M50" i="14"/>
  <c r="L50" i="14"/>
  <c r="K50" i="14"/>
  <c r="F50" i="14"/>
  <c r="A50" i="14"/>
  <c r="V49" i="14"/>
  <c r="U49" i="14"/>
  <c r="T49" i="14"/>
  <c r="S49" i="14"/>
  <c r="P49" i="14"/>
  <c r="O49" i="14"/>
  <c r="M49" i="14"/>
  <c r="L49" i="14"/>
  <c r="K49" i="14"/>
  <c r="F49" i="14"/>
  <c r="A49" i="14"/>
  <c r="V48" i="14"/>
  <c r="U48" i="14"/>
  <c r="T48" i="14"/>
  <c r="S48" i="14"/>
  <c r="P48" i="14"/>
  <c r="O48" i="14"/>
  <c r="M48" i="14"/>
  <c r="L48" i="14"/>
  <c r="K48" i="14"/>
  <c r="F48" i="14"/>
  <c r="D48" i="14"/>
  <c r="A48" i="14"/>
  <c r="Y47" i="14"/>
  <c r="V47" i="14"/>
  <c r="U47" i="14"/>
  <c r="T47" i="14"/>
  <c r="S47" i="14"/>
  <c r="P47" i="14"/>
  <c r="O47" i="14"/>
  <c r="N47" i="14"/>
  <c r="M47" i="14"/>
  <c r="L47" i="14"/>
  <c r="K47" i="14"/>
  <c r="G47" i="14"/>
  <c r="F47" i="14"/>
  <c r="A47" i="14"/>
  <c r="V46" i="14"/>
  <c r="U46" i="14"/>
  <c r="T46" i="14"/>
  <c r="S46" i="14"/>
  <c r="P46" i="14"/>
  <c r="O46" i="14"/>
  <c r="M46" i="14"/>
  <c r="L46" i="14"/>
  <c r="K46" i="14"/>
  <c r="F46" i="14"/>
  <c r="A46" i="14"/>
  <c r="V45" i="14"/>
  <c r="U45" i="14"/>
  <c r="T45" i="14"/>
  <c r="S45" i="14"/>
  <c r="P45" i="14"/>
  <c r="O45" i="14"/>
  <c r="N45" i="14"/>
  <c r="M45" i="14"/>
  <c r="L45" i="14"/>
  <c r="K45" i="14"/>
  <c r="F45" i="14"/>
  <c r="A45" i="14"/>
  <c r="V44" i="14"/>
  <c r="U44" i="14"/>
  <c r="T44" i="14"/>
  <c r="S44" i="14"/>
  <c r="P44" i="14"/>
  <c r="O44" i="14"/>
  <c r="M44" i="14"/>
  <c r="L44" i="14"/>
  <c r="K44" i="14"/>
  <c r="F44" i="14"/>
  <c r="D44" i="14"/>
  <c r="A44" i="14"/>
  <c r="V43" i="14"/>
  <c r="U43" i="14"/>
  <c r="T43" i="14"/>
  <c r="S43" i="14"/>
  <c r="P43" i="14"/>
  <c r="O43" i="14"/>
  <c r="N43" i="14"/>
  <c r="M43" i="14"/>
  <c r="L43" i="14"/>
  <c r="K43" i="14"/>
  <c r="F43" i="14"/>
  <c r="D43" i="14"/>
  <c r="A43" i="14"/>
  <c r="V42" i="14"/>
  <c r="U42" i="14"/>
  <c r="T42" i="14"/>
  <c r="S42" i="14"/>
  <c r="P42" i="14"/>
  <c r="O42" i="14"/>
  <c r="M42" i="14"/>
  <c r="L42" i="14"/>
  <c r="K42" i="14"/>
  <c r="F42" i="14"/>
  <c r="D42" i="14"/>
  <c r="A42" i="14"/>
  <c r="V41" i="14"/>
  <c r="U41" i="14"/>
  <c r="T41" i="14"/>
  <c r="S41" i="14"/>
  <c r="P41" i="14"/>
  <c r="O41" i="14"/>
  <c r="M41" i="14"/>
  <c r="L41" i="14"/>
  <c r="K41" i="14"/>
  <c r="F41" i="14"/>
  <c r="A41" i="14"/>
  <c r="V40" i="14"/>
  <c r="U40" i="14"/>
  <c r="T40" i="14"/>
  <c r="S40" i="14"/>
  <c r="P40" i="14"/>
  <c r="O40" i="14"/>
  <c r="M40" i="14"/>
  <c r="L40" i="14"/>
  <c r="K40" i="14"/>
  <c r="F40" i="14"/>
  <c r="A40" i="14"/>
  <c r="V39" i="14"/>
  <c r="U39" i="14"/>
  <c r="T39" i="14"/>
  <c r="S39" i="14"/>
  <c r="P39" i="14"/>
  <c r="O39" i="14"/>
  <c r="M39" i="14"/>
  <c r="L39" i="14"/>
  <c r="K39" i="14"/>
  <c r="F39" i="14"/>
  <c r="A39" i="14"/>
  <c r="V38" i="14"/>
  <c r="U38" i="14"/>
  <c r="T38" i="14"/>
  <c r="S38" i="14"/>
  <c r="P38" i="14"/>
  <c r="O38" i="14"/>
  <c r="M38" i="14"/>
  <c r="L38" i="14"/>
  <c r="K38" i="14"/>
  <c r="F38" i="14"/>
  <c r="D38" i="14"/>
  <c r="A38" i="14"/>
  <c r="V37" i="14"/>
  <c r="U37" i="14"/>
  <c r="T37" i="14"/>
  <c r="S37" i="14"/>
  <c r="P37" i="14"/>
  <c r="O37" i="14"/>
  <c r="M37" i="14"/>
  <c r="L37" i="14"/>
  <c r="K37" i="14"/>
  <c r="F37" i="14"/>
  <c r="D37" i="14"/>
  <c r="A37" i="14"/>
  <c r="V36" i="14"/>
  <c r="U36" i="14"/>
  <c r="T36" i="14"/>
  <c r="S36" i="14"/>
  <c r="P36" i="14"/>
  <c r="O36" i="14"/>
  <c r="M36" i="14"/>
  <c r="L36" i="14"/>
  <c r="K36" i="14"/>
  <c r="F36" i="14"/>
  <c r="A36" i="14"/>
  <c r="V35" i="14"/>
  <c r="U35" i="14"/>
  <c r="T35" i="14"/>
  <c r="S35" i="14"/>
  <c r="P35" i="14"/>
  <c r="O35" i="14"/>
  <c r="M35" i="14"/>
  <c r="L35" i="14"/>
  <c r="K35" i="14"/>
  <c r="F35" i="14"/>
  <c r="D35" i="14"/>
  <c r="A35" i="14"/>
  <c r="V34" i="14"/>
  <c r="U34" i="14"/>
  <c r="T34" i="14"/>
  <c r="S34" i="14"/>
  <c r="P34" i="14"/>
  <c r="O34" i="14"/>
  <c r="N34" i="14"/>
  <c r="M34" i="14"/>
  <c r="L34" i="14"/>
  <c r="K34" i="14"/>
  <c r="G34" i="14"/>
  <c r="F34" i="14"/>
  <c r="A34" i="14"/>
  <c r="V33" i="14"/>
  <c r="U33" i="14"/>
  <c r="T33" i="14"/>
  <c r="S33" i="14"/>
  <c r="P33" i="14"/>
  <c r="O33" i="14"/>
  <c r="M33" i="14"/>
  <c r="L33" i="14"/>
  <c r="K33" i="14"/>
  <c r="F33" i="14"/>
  <c r="A33" i="14"/>
  <c r="V32" i="14"/>
  <c r="U32" i="14"/>
  <c r="T32" i="14"/>
  <c r="S32" i="14"/>
  <c r="P32" i="14"/>
  <c r="O32" i="14"/>
  <c r="M32" i="14"/>
  <c r="L32" i="14"/>
  <c r="K32" i="14"/>
  <c r="G32" i="14"/>
  <c r="F32" i="14"/>
  <c r="D32" i="14"/>
  <c r="A32" i="14"/>
  <c r="V31" i="14"/>
  <c r="U31" i="14"/>
  <c r="T31" i="14"/>
  <c r="S31" i="14"/>
  <c r="P31" i="14"/>
  <c r="O31" i="14"/>
  <c r="M31" i="14"/>
  <c r="L31" i="14"/>
  <c r="K31" i="14"/>
  <c r="F31" i="14"/>
  <c r="D31" i="14"/>
  <c r="A31" i="14"/>
  <c r="V30" i="14"/>
  <c r="U30" i="14"/>
  <c r="T30" i="14"/>
  <c r="S30" i="14"/>
  <c r="P30" i="14"/>
  <c r="O30" i="14"/>
  <c r="N30" i="14"/>
  <c r="M30" i="14"/>
  <c r="L30" i="14"/>
  <c r="K30" i="14"/>
  <c r="F30" i="14"/>
  <c r="A30" i="14"/>
  <c r="V29" i="14"/>
  <c r="U29" i="14"/>
  <c r="T29" i="14"/>
  <c r="S29" i="14"/>
  <c r="P29" i="14"/>
  <c r="O29" i="14"/>
  <c r="M29" i="14"/>
  <c r="L29" i="14"/>
  <c r="K29" i="14"/>
  <c r="F29" i="14"/>
  <c r="D29" i="14"/>
  <c r="A29" i="14"/>
  <c r="V28" i="14"/>
  <c r="U28" i="14"/>
  <c r="T28" i="14"/>
  <c r="S28" i="14"/>
  <c r="P28" i="14"/>
  <c r="O28" i="14"/>
  <c r="M28" i="14"/>
  <c r="L28" i="14"/>
  <c r="K28" i="14"/>
  <c r="F28" i="14"/>
  <c r="D28" i="14"/>
  <c r="A28" i="14"/>
  <c r="V27" i="14"/>
  <c r="U27" i="14"/>
  <c r="T27" i="14"/>
  <c r="S27" i="14"/>
  <c r="P27" i="14"/>
  <c r="O27" i="14"/>
  <c r="M27" i="14"/>
  <c r="L27" i="14"/>
  <c r="K27" i="14"/>
  <c r="F27" i="14"/>
  <c r="A27" i="14"/>
  <c r="V26" i="14"/>
  <c r="U26" i="14"/>
  <c r="T26" i="14"/>
  <c r="S26" i="14"/>
  <c r="P26" i="14"/>
  <c r="O26" i="14"/>
  <c r="M26" i="14"/>
  <c r="L26" i="14"/>
  <c r="K26" i="14"/>
  <c r="F26" i="14"/>
  <c r="D26" i="14"/>
  <c r="A26" i="14"/>
  <c r="V25" i="14"/>
  <c r="U25" i="14"/>
  <c r="T25" i="14"/>
  <c r="S25" i="14"/>
  <c r="P25" i="14"/>
  <c r="O25" i="14"/>
  <c r="M25" i="14"/>
  <c r="L25" i="14"/>
  <c r="K25" i="14"/>
  <c r="F25" i="14"/>
  <c r="D25" i="14"/>
  <c r="A25" i="14"/>
  <c r="V24" i="14"/>
  <c r="U24" i="14"/>
  <c r="T24" i="14"/>
  <c r="S24" i="14"/>
  <c r="P24" i="14"/>
  <c r="O24" i="14"/>
  <c r="N24" i="14"/>
  <c r="M24" i="14"/>
  <c r="L24" i="14"/>
  <c r="K24" i="14"/>
  <c r="F24" i="14"/>
  <c r="A24" i="14"/>
  <c r="V23" i="14"/>
  <c r="U23" i="14"/>
  <c r="T23" i="14"/>
  <c r="S23" i="14"/>
  <c r="P23" i="14"/>
  <c r="O23" i="14"/>
  <c r="N23" i="14"/>
  <c r="M23" i="14"/>
  <c r="L23" i="14"/>
  <c r="K23" i="14"/>
  <c r="F23" i="14"/>
  <c r="A23" i="14"/>
  <c r="V22" i="14"/>
  <c r="U22" i="14"/>
  <c r="T22" i="14"/>
  <c r="S22" i="14"/>
  <c r="P22" i="14"/>
  <c r="O22" i="14"/>
  <c r="M22" i="14"/>
  <c r="L22" i="14"/>
  <c r="K22" i="14"/>
  <c r="F22" i="14"/>
  <c r="A22" i="14"/>
  <c r="V21" i="14"/>
  <c r="U21" i="14"/>
  <c r="T21" i="14"/>
  <c r="S21" i="14"/>
  <c r="P21" i="14"/>
  <c r="O21" i="14"/>
  <c r="M21" i="14"/>
  <c r="L21" i="14"/>
  <c r="K21" i="14"/>
  <c r="F21" i="14"/>
  <c r="A21" i="14"/>
  <c r="V20" i="14"/>
  <c r="U20" i="14"/>
  <c r="T20" i="14"/>
  <c r="S20" i="14"/>
  <c r="P20" i="14"/>
  <c r="O20" i="14"/>
  <c r="M20" i="14"/>
  <c r="L20" i="14"/>
  <c r="K20" i="14"/>
  <c r="F20" i="14"/>
  <c r="A20" i="14"/>
  <c r="V19" i="14"/>
  <c r="U19" i="14"/>
  <c r="T19" i="14"/>
  <c r="S19" i="14"/>
  <c r="P19" i="14"/>
  <c r="O19" i="14"/>
  <c r="M19" i="14"/>
  <c r="L19" i="14"/>
  <c r="K19" i="14"/>
  <c r="F19" i="14"/>
  <c r="A19" i="14"/>
  <c r="V18" i="14"/>
  <c r="U18" i="14"/>
  <c r="T18" i="14"/>
  <c r="S18" i="14"/>
  <c r="P18" i="14"/>
  <c r="O18" i="14"/>
  <c r="M18" i="14"/>
  <c r="L18" i="14"/>
  <c r="K18" i="14"/>
  <c r="F18" i="14"/>
  <c r="A18" i="14"/>
  <c r="V17" i="14"/>
  <c r="U17" i="14"/>
  <c r="T17" i="14"/>
  <c r="S17" i="14"/>
  <c r="P17" i="14"/>
  <c r="O17" i="14"/>
  <c r="M17" i="14"/>
  <c r="L17" i="14"/>
  <c r="K17" i="14"/>
  <c r="F17" i="14"/>
  <c r="A17" i="14"/>
  <c r="V16" i="14"/>
  <c r="U16" i="14"/>
  <c r="T16" i="14"/>
  <c r="S16" i="14"/>
  <c r="P16" i="14"/>
  <c r="O16" i="14"/>
  <c r="M16" i="14"/>
  <c r="L16" i="14"/>
  <c r="K16" i="14"/>
  <c r="F16" i="14"/>
  <c r="A16" i="14"/>
  <c r="V15" i="14"/>
  <c r="U15" i="14"/>
  <c r="T15" i="14"/>
  <c r="S15" i="14"/>
  <c r="P15" i="14"/>
  <c r="O15" i="14"/>
  <c r="M15" i="14"/>
  <c r="L15" i="14"/>
  <c r="K15" i="14"/>
  <c r="F15" i="14"/>
  <c r="A15" i="14"/>
  <c r="V14" i="14"/>
  <c r="U14" i="14"/>
  <c r="T14" i="14"/>
  <c r="S14" i="14"/>
  <c r="P14" i="14"/>
  <c r="O14" i="14"/>
  <c r="N14" i="14"/>
  <c r="M14" i="14"/>
  <c r="L14" i="14"/>
  <c r="K14" i="14"/>
  <c r="F14" i="14"/>
  <c r="A14" i="14"/>
  <c r="V13" i="14"/>
  <c r="U13" i="14"/>
  <c r="T13" i="14"/>
  <c r="S13" i="14"/>
  <c r="P13" i="14"/>
  <c r="O13" i="14"/>
  <c r="M13" i="14"/>
  <c r="L13" i="14"/>
  <c r="K13" i="14"/>
  <c r="F13" i="14"/>
  <c r="A13" i="14"/>
  <c r="V12" i="14"/>
  <c r="U12" i="14"/>
  <c r="T12" i="14"/>
  <c r="S12" i="14"/>
  <c r="P12" i="14"/>
  <c r="O12" i="14"/>
  <c r="M12" i="14"/>
  <c r="L12" i="14"/>
  <c r="K12" i="14"/>
  <c r="F12" i="14"/>
  <c r="A12" i="14"/>
  <c r="V11" i="14"/>
  <c r="U11" i="14"/>
  <c r="T11" i="14"/>
  <c r="S11" i="14"/>
  <c r="P11" i="14"/>
  <c r="O11" i="14"/>
  <c r="M11" i="14"/>
  <c r="L11" i="14"/>
  <c r="K11" i="14"/>
  <c r="F11" i="14"/>
  <c r="A11" i="14"/>
  <c r="V10" i="14"/>
  <c r="U10" i="14"/>
  <c r="T10" i="14"/>
  <c r="S10" i="14"/>
  <c r="P10" i="14"/>
  <c r="O10" i="14"/>
  <c r="M10" i="14"/>
  <c r="L10" i="14"/>
  <c r="K10" i="14"/>
  <c r="F10" i="14"/>
  <c r="A10" i="14"/>
  <c r="V9" i="14"/>
  <c r="U9" i="14"/>
  <c r="T9" i="14"/>
  <c r="S9" i="14"/>
  <c r="P9" i="14"/>
  <c r="O9" i="14"/>
  <c r="M9" i="14"/>
  <c r="L9" i="14"/>
  <c r="K9" i="14"/>
  <c r="F9" i="14"/>
  <c r="D9" i="14"/>
  <c r="A9" i="14"/>
  <c r="V8" i="14"/>
  <c r="U8" i="14"/>
  <c r="T8" i="14"/>
  <c r="S8" i="14"/>
  <c r="P8" i="14"/>
  <c r="O8" i="14"/>
  <c r="M8" i="14"/>
  <c r="L8" i="14"/>
  <c r="K8" i="14"/>
  <c r="F8" i="14"/>
  <c r="A8" i="14"/>
  <c r="V7" i="14"/>
  <c r="U7" i="14"/>
  <c r="T7" i="14"/>
  <c r="S7" i="14"/>
  <c r="P7" i="14"/>
  <c r="O7" i="14"/>
  <c r="M7" i="14"/>
  <c r="L7" i="14"/>
  <c r="K7" i="14"/>
  <c r="F7" i="14"/>
  <c r="A7" i="14"/>
  <c r="H22" i="40"/>
  <c r="H21" i="40"/>
  <c r="H20" i="40"/>
  <c r="H19" i="40"/>
  <c r="E14" i="40"/>
  <c r="E13" i="40"/>
  <c r="E12" i="40"/>
  <c r="H7" i="40"/>
  <c r="H5" i="40"/>
  <c r="N19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Q15" i="34"/>
  <c r="Q14" i="34"/>
  <c r="Q13" i="34"/>
  <c r="Q12" i="34"/>
  <c r="Q11" i="34"/>
  <c r="K11" i="34"/>
  <c r="G11" i="34"/>
  <c r="Q10" i="34"/>
  <c r="Q9" i="34"/>
  <c r="Q8" i="34"/>
  <c r="Q7" i="34"/>
  <c r="O7" i="34"/>
  <c r="N7" i="34"/>
  <c r="G7" i="34"/>
  <c r="D7" i="34"/>
  <c r="Q6" i="34"/>
  <c r="O6" i="34"/>
  <c r="Q5" i="34"/>
  <c r="Q4" i="34"/>
  <c r="J36" i="57"/>
  <c r="J34" i="57"/>
  <c r="J32" i="57"/>
  <c r="J30" i="57"/>
  <c r="W22" i="57"/>
  <c r="V22" i="57"/>
  <c r="U22" i="57"/>
  <c r="T22" i="57"/>
  <c r="S22" i="57"/>
  <c r="W21" i="57"/>
  <c r="U21" i="57"/>
  <c r="T21" i="57"/>
  <c r="S21" i="57"/>
  <c r="B19" i="57"/>
  <c r="W18" i="57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W17" i="57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D17" i="57"/>
  <c r="C17" i="57"/>
  <c r="B17" i="57"/>
  <c r="W16" i="57"/>
  <c r="V16" i="57"/>
  <c r="U16" i="57"/>
  <c r="T16" i="57"/>
  <c r="S16" i="57"/>
  <c r="R16" i="57"/>
  <c r="Q16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D16" i="57"/>
  <c r="C16" i="57"/>
  <c r="B16" i="57"/>
  <c r="W15" i="57"/>
  <c r="V15" i="57"/>
  <c r="U15" i="57"/>
  <c r="T15" i="57"/>
  <c r="S15" i="57"/>
  <c r="R15" i="57"/>
  <c r="Q15" i="57"/>
  <c r="P15" i="57"/>
  <c r="O15" i="57"/>
  <c r="N15" i="57"/>
  <c r="M15" i="57"/>
  <c r="L15" i="57"/>
  <c r="K15" i="57"/>
  <c r="J15" i="57"/>
  <c r="I15" i="57"/>
  <c r="H15" i="57"/>
  <c r="G15" i="57"/>
  <c r="F15" i="57"/>
  <c r="E15" i="57"/>
  <c r="D15" i="57"/>
  <c r="C15" i="57"/>
  <c r="B15" i="57"/>
  <c r="W14" i="57"/>
  <c r="V14" i="57"/>
  <c r="U14" i="57"/>
  <c r="T14" i="57"/>
  <c r="S14" i="57"/>
  <c r="R14" i="57"/>
  <c r="Q14" i="57"/>
  <c r="P14" i="57"/>
  <c r="O14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B14" i="57"/>
  <c r="W13" i="57"/>
  <c r="V13" i="57"/>
  <c r="U13" i="57"/>
  <c r="T13" i="57"/>
  <c r="S13" i="57"/>
  <c r="R13" i="57"/>
  <c r="Q13" i="57"/>
  <c r="P13" i="57"/>
  <c r="O13" i="57"/>
  <c r="N13" i="57"/>
  <c r="M13" i="57"/>
  <c r="L13" i="57"/>
  <c r="K13" i="57"/>
  <c r="J13" i="57"/>
  <c r="I13" i="57"/>
  <c r="H13" i="57"/>
  <c r="G13" i="57"/>
  <c r="F13" i="57"/>
  <c r="E13" i="57"/>
  <c r="D13" i="57"/>
  <c r="C13" i="57"/>
  <c r="B13" i="57"/>
  <c r="W12" i="57"/>
  <c r="V12" i="57"/>
  <c r="U12" i="57"/>
  <c r="T12" i="57"/>
  <c r="S12" i="57"/>
  <c r="R12" i="57"/>
  <c r="Q12" i="57"/>
  <c r="P12" i="57"/>
  <c r="O12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W11" i="57"/>
  <c r="V11" i="57"/>
  <c r="U11" i="57"/>
  <c r="T11" i="57"/>
  <c r="S11" i="57"/>
  <c r="R11" i="57"/>
  <c r="Q11" i="57"/>
  <c r="P11" i="57"/>
  <c r="O11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B11" i="57"/>
  <c r="W10" i="57"/>
  <c r="V10" i="57"/>
  <c r="U10" i="57"/>
  <c r="T10" i="57"/>
  <c r="S10" i="57"/>
  <c r="R10" i="57"/>
  <c r="Q10" i="57"/>
  <c r="P10" i="57"/>
  <c r="O10" i="57"/>
  <c r="N10" i="57"/>
  <c r="M10" i="57"/>
  <c r="L10" i="57"/>
  <c r="K10" i="57"/>
  <c r="J10" i="57"/>
  <c r="I10" i="57"/>
  <c r="H10" i="57"/>
  <c r="G10" i="57"/>
  <c r="F10" i="57"/>
  <c r="E10" i="57"/>
  <c r="D10" i="57"/>
  <c r="C10" i="57"/>
  <c r="B10" i="57"/>
  <c r="W9" i="57"/>
  <c r="V9" i="57"/>
  <c r="U9" i="57"/>
  <c r="T9" i="57"/>
  <c r="S9" i="57"/>
  <c r="R9" i="57"/>
  <c r="Q9" i="57"/>
  <c r="P9" i="57"/>
  <c r="O9" i="57"/>
  <c r="N9" i="57"/>
  <c r="M9" i="57"/>
  <c r="L9" i="57"/>
  <c r="K9" i="57"/>
  <c r="J9" i="57"/>
  <c r="I9" i="57"/>
  <c r="H9" i="57"/>
  <c r="G9" i="57"/>
  <c r="F9" i="57"/>
  <c r="E9" i="57"/>
  <c r="D9" i="57"/>
  <c r="C9" i="57"/>
  <c r="B9" i="57"/>
  <c r="W8" i="57"/>
  <c r="V8" i="57"/>
  <c r="U8" i="57"/>
  <c r="T8" i="57"/>
  <c r="S8" i="57"/>
  <c r="R8" i="57"/>
  <c r="Q8" i="57"/>
  <c r="P8" i="57"/>
  <c r="O8" i="57"/>
  <c r="N8" i="57"/>
  <c r="M8" i="57"/>
  <c r="L8" i="57"/>
  <c r="K8" i="57"/>
  <c r="J8" i="57"/>
  <c r="I8" i="57"/>
  <c r="H8" i="57"/>
  <c r="G8" i="57"/>
  <c r="F8" i="57"/>
  <c r="E8" i="57"/>
  <c r="D8" i="57"/>
  <c r="C8" i="57"/>
  <c r="B8" i="57"/>
  <c r="W7" i="57"/>
  <c r="V7" i="57"/>
  <c r="U7" i="57"/>
  <c r="T7" i="57"/>
  <c r="S7" i="57"/>
  <c r="R7" i="57"/>
  <c r="Q7" i="57"/>
  <c r="P7" i="57"/>
  <c r="O7" i="57"/>
  <c r="N7" i="57"/>
  <c r="M7" i="57"/>
  <c r="L7" i="57"/>
  <c r="K7" i="57"/>
  <c r="J7" i="57"/>
  <c r="I7" i="57"/>
  <c r="H7" i="57"/>
  <c r="G7" i="57"/>
  <c r="F7" i="57"/>
  <c r="E7" i="57"/>
  <c r="D7" i="57"/>
  <c r="C7" i="57"/>
  <c r="B7" i="57"/>
  <c r="Y6" i="57"/>
  <c r="W6" i="57"/>
  <c r="V6" i="57"/>
  <c r="U6" i="57"/>
  <c r="T6" i="57"/>
  <c r="S6" i="57"/>
  <c r="R6" i="57"/>
  <c r="Q6" i="57"/>
  <c r="P6" i="57"/>
  <c r="O6" i="57"/>
  <c r="N6" i="57"/>
  <c r="M6" i="57"/>
  <c r="L6" i="57"/>
  <c r="K6" i="57"/>
  <c r="J6" i="57"/>
  <c r="I6" i="57"/>
  <c r="H6" i="57"/>
  <c r="G6" i="57"/>
  <c r="F6" i="57"/>
  <c r="E6" i="57"/>
  <c r="D6" i="57"/>
  <c r="C6" i="57"/>
  <c r="B6" i="57"/>
  <c r="J37" i="12"/>
  <c r="J35" i="12"/>
  <c r="J33" i="12"/>
  <c r="J31" i="12"/>
  <c r="W23" i="12"/>
  <c r="V23" i="12"/>
  <c r="U23" i="12"/>
  <c r="T23" i="12"/>
  <c r="S23" i="12"/>
  <c r="W22" i="12"/>
  <c r="U22" i="12"/>
  <c r="T22" i="12"/>
  <c r="S22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G14" i="32"/>
  <c r="F14" i="32"/>
  <c r="F13" i="32"/>
  <c r="F12" i="32"/>
  <c r="G11" i="32"/>
  <c r="F11" i="32"/>
  <c r="F10" i="32"/>
  <c r="F8" i="32"/>
  <c r="F7" i="32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E18" i="31"/>
  <c r="C18" i="31"/>
  <c r="K17" i="31"/>
  <c r="H17" i="31"/>
  <c r="E17" i="31"/>
  <c r="H16" i="31"/>
  <c r="H15" i="31"/>
  <c r="G15" i="31"/>
  <c r="F15" i="31"/>
  <c r="E15" i="31"/>
  <c r="D15" i="31"/>
  <c r="C15" i="31"/>
  <c r="H14" i="31"/>
  <c r="E14" i="31"/>
  <c r="H13" i="31"/>
  <c r="E13" i="31"/>
  <c r="K12" i="31"/>
  <c r="H12" i="31"/>
  <c r="E12" i="31"/>
  <c r="H11" i="31"/>
  <c r="E11" i="31"/>
  <c r="H10" i="31"/>
  <c r="E10" i="31"/>
  <c r="C10" i="31"/>
  <c r="H9" i="31"/>
  <c r="E9" i="31"/>
  <c r="J28" i="30"/>
  <c r="G28" i="30"/>
  <c r="F28" i="30"/>
  <c r="J27" i="30"/>
  <c r="F27" i="30"/>
  <c r="J26" i="30"/>
  <c r="J25" i="30"/>
  <c r="F25" i="30"/>
  <c r="J24" i="30"/>
  <c r="F24" i="30"/>
  <c r="J19" i="30"/>
  <c r="G19" i="30"/>
  <c r="F19" i="30"/>
  <c r="J18" i="30"/>
  <c r="F18" i="30"/>
  <c r="J17" i="30"/>
  <c r="F17" i="30"/>
  <c r="J16" i="30"/>
  <c r="F16" i="30"/>
  <c r="J15" i="30"/>
  <c r="F15" i="30"/>
  <c r="J14" i="30"/>
  <c r="F14" i="30"/>
  <c r="J13" i="30"/>
  <c r="F13" i="30"/>
  <c r="J12" i="30"/>
  <c r="F12" i="30"/>
  <c r="J11" i="30"/>
  <c r="F11" i="30"/>
  <c r="J10" i="30"/>
  <c r="F10" i="30"/>
  <c r="J9" i="30"/>
  <c r="F9" i="30"/>
  <c r="J8" i="30"/>
  <c r="F8" i="30"/>
  <c r="J7" i="30"/>
  <c r="F7" i="30"/>
  <c r="J6" i="30"/>
  <c r="F6" i="30"/>
  <c r="I19" i="29"/>
  <c r="G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I8" i="29"/>
  <c r="F8" i="29"/>
  <c r="G11" i="62"/>
  <c r="G9" i="62"/>
  <c r="G7" i="62"/>
  <c r="F22" i="28"/>
  <c r="F23" i="28" s="1"/>
  <c r="G21" i="28"/>
  <c r="G22" i="28" s="1"/>
  <c r="G23" i="28" s="1"/>
  <c r="E21" i="28"/>
  <c r="D21" i="28"/>
  <c r="G20" i="28"/>
  <c r="G19" i="28"/>
  <c r="F19" i="28"/>
  <c r="F20" i="28" s="1"/>
  <c r="E19" i="28"/>
  <c r="E22" i="28" s="1"/>
  <c r="E23" i="28" s="1"/>
  <c r="D19" i="28"/>
  <c r="D22" i="28" s="1"/>
  <c r="D23" i="28" s="1"/>
  <c r="H18" i="28"/>
  <c r="D13" i="28"/>
  <c r="E30" i="27"/>
  <c r="E28" i="27"/>
  <c r="E26" i="27"/>
  <c r="Q37" i="53" l="1"/>
  <c r="H19" i="28"/>
  <c r="D20" i="28"/>
  <c r="H21" i="28"/>
  <c r="Q87" i="18"/>
  <c r="Q106" i="51"/>
  <c r="E20" i="28"/>
  <c r="H22" i="28" l="1"/>
  <c r="H23" i="28" s="1"/>
  <c r="H20" i="28"/>
</calcChain>
</file>

<file path=xl/comments1.xml><?xml version="1.0" encoding="utf-8"?>
<comments xmlns="http://schemas.openxmlformats.org/spreadsheetml/2006/main">
  <authors>
    <author>Gizbarut-Orna Goldfriend</author>
  </authors>
  <commentList>
    <comment ref="N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רננות ונת"י בית העלמין 
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אזורים האחים עופר</t>
        </r>
      </text>
    </comment>
  </commentList>
</comments>
</file>

<file path=xl/comments10.xml><?xml version="1.0" encoding="utf-8"?>
<comments xmlns="http://schemas.openxmlformats.org/spreadsheetml/2006/main">
  <authors>
    <author>Gizbarut-Orna Goldfriend</author>
  </authors>
  <commentList>
    <comment ref="Q1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700 ב - 8.9.16
נוסףעוד 5.8 מלשח ספטמבר</t>
        </r>
      </text>
    </comment>
    <comment ref="Y1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נוסף 300 ספטמבר</t>
        </r>
      </text>
    </comment>
    <comment ref="R2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14.9.16: הוזרם 500 אלשח.
אוקטובר : 2 מלשח
</t>
        </r>
      </text>
    </comment>
    <comment ref="Y5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</t>
        </r>
      </text>
    </comment>
    <comment ref="Y5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Y6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רננות
</t>
        </r>
      </text>
    </comment>
    <comment ref="Y6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"אחרים" : האחים עופר אזורים</t>
        </r>
      </text>
    </comment>
    <comment ref="Y69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R7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11.9: הזרמה 2 מלשח
הזרמה 1.74 מלשח  אוקטובר
</t>
        </r>
      </text>
    </comment>
    <comment ref="I7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29061 ₪ שייך לחב. לפיתוח "אופק"
</t>
        </r>
      </text>
    </comment>
    <comment ref="Y7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</t>
        </r>
      </text>
    </comment>
    <comment ref="Y7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7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החינוך: 1625
רמ"י , : 1511 :</t>
        </r>
      </text>
    </comment>
    <comment ref="Y7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7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8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8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Q9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500 ב - 5.9.16  ספטמבר נוסף 1.25 מלשח</t>
        </r>
      </text>
    </comment>
    <comment ref="Q9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300 ב - 8.9.16 ספטמבר נוסף 10.7 מלשח</t>
        </r>
      </text>
    </comment>
    <comment ref="Y9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מפעל הפייס</t>
        </r>
      </text>
    </comment>
    <comment ref="Q9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ספטמבר נוסף 1.2 מלשח</t>
        </r>
      </text>
    </comment>
    <comment ref="Y9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נת"י
</t>
        </r>
      </text>
    </comment>
    <comment ref="R10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11.9.16 : הזרמת תקציב 500 אלשח
הזרמה 3 מלשח  אוקטובר</t>
        </r>
      </text>
    </comment>
  </commentList>
</comments>
</file>

<file path=xl/comments11.xml><?xml version="1.0" encoding="utf-8"?>
<comments xmlns="http://schemas.openxmlformats.org/spreadsheetml/2006/main">
  <authors>
    <author>Gizbarut-Orna Goldfriend</author>
  </authors>
  <commentList>
    <comment ref="Q1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 עוד 250 הזרמה נוספת</t>
        </r>
      </text>
    </comment>
    <comment ref="R2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הזרמה ספטמבר  2 מלשח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 ב - 8.9.16
הזרמה נוספת 50 מי וש נוסף ספטמבר
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 ב - 8.9.16
הזרמה נוספת 150 ספטמבר נוסף</t>
        </r>
      </text>
    </comment>
    <comment ref="Y9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האנרגיה</t>
        </r>
      </text>
    </comment>
  </commentList>
</comments>
</file>

<file path=xl/comments12.xml><?xml version="1.0" encoding="utf-8"?>
<comments xmlns="http://schemas.openxmlformats.org/spreadsheetml/2006/main">
  <authors>
    <author>Gizbarut-Orna Goldfriend</author>
    <author>Tanus-Yulia pesis</author>
  </authors>
  <commentList>
    <comment ref="Y1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המדע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2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37" authorId="1">
      <text>
        <r>
          <rPr>
            <b/>
            <sz val="9"/>
            <color indexed="81"/>
            <rFont val="Tahoma"/>
            <family val="2"/>
          </rPr>
          <t>Tanus-Yulia pesis:</t>
        </r>
        <r>
          <rPr>
            <sz val="9"/>
            <color indexed="81"/>
            <rFont val="Tahoma"/>
            <family val="2"/>
          </rPr>
          <t xml:space="preserve">
טוטו</t>
        </r>
      </text>
    </comment>
    <comment ref="D42" authorId="1">
      <text>
        <r>
          <rPr>
            <b/>
            <sz val="9"/>
            <color indexed="81"/>
            <rFont val="Tahoma"/>
            <family val="2"/>
          </rPr>
          <t>Tanus-Yulia pesis:</t>
        </r>
        <r>
          <rPr>
            <sz val="9"/>
            <color indexed="81"/>
            <rFont val="Tahoma"/>
            <family val="2"/>
          </rPr>
          <t xml:space="preserve">
טרם אושר במועצה, אושר בועדת כספים 21.8.16</t>
        </r>
      </text>
    </comment>
  </commentList>
</comments>
</file>

<file path=xl/comments13.xml><?xml version="1.0" encoding="utf-8"?>
<comments xmlns="http://schemas.openxmlformats.org/spreadsheetml/2006/main">
  <authors>
    <author>Gizbarut-Orna Goldfriend</author>
  </authors>
  <commentList>
    <comment ref="Y3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 ביניים. תשלומים דחויים
</t>
        </r>
      </text>
    </comment>
    <comment ref="Y8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</commentList>
</comments>
</file>

<file path=xl/comments14.xml><?xml version="1.0" encoding="utf-8"?>
<comments xmlns="http://schemas.openxmlformats.org/spreadsheetml/2006/main">
  <authors>
    <author>Gizbarut-Orna Goldfriend</author>
  </authors>
  <commentList>
    <comment ref="U2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ירד מ - 100 מאחר ועודכן התקציב ב - 2016 לפי בקשתם מ-50 ל- 300</t>
        </r>
      </text>
    </comment>
  </commentList>
</comments>
</file>

<file path=xl/comments15.xml><?xml version="1.0" encoding="utf-8"?>
<comments xmlns="http://schemas.openxmlformats.org/spreadsheetml/2006/main">
  <authors>
    <author>Gizbarut-Orna Goldfriend</author>
  </authors>
  <commentList>
    <comment ref="Q1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850 ב - 8.9.16</t>
        </r>
      </text>
    </comment>
  </commentList>
</comments>
</file>

<file path=xl/comments2.xml><?xml version="1.0" encoding="utf-8"?>
<comments xmlns="http://schemas.openxmlformats.org/spreadsheetml/2006/main">
  <authors>
    <author>Gizbarut-Orna Goldfriend</author>
    <author>Eng-Sarit Avramovich</author>
  </authors>
  <commentList>
    <comment ref="Y4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D71" authorId="1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וועדת כספים של 25/9
</t>
        </r>
      </text>
    </comment>
  </commentList>
</comments>
</file>

<file path=xl/comments3.xml><?xml version="1.0" encoding="utf-8"?>
<comments xmlns="http://schemas.openxmlformats.org/spreadsheetml/2006/main">
  <authors>
    <author>Gizbarut-Orna Goldfriend</author>
  </authors>
  <commentList>
    <comment ref="Y1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בית עלמין
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700 ב - 8.9.16
נוסףעוד 5.8 מלשח ספטמבר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נוסף 300 ספטמבר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14.9.16: הוזרם 500 אלשח.
אוקטובר : 2 מלשח
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500 ב - 5.9.16  ספטמבר נוסף 1.25 מלשח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300 ב - 8.9.16 ספטמבר נוסף 10.7 מלשח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מפעל הפייס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"אחרים" : האחים עופר אזורים</t>
        </r>
      </text>
    </comment>
    <comment ref="Y4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Q5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ספטמבר נוסף 1.2 מלשח</t>
        </r>
      </text>
    </comment>
    <comment ref="Y5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נת"י
</t>
        </r>
      </text>
    </comment>
    <comment ref="Y5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R6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11.9: הזרמה 2 מלשח
הזרמה 1.74 מלשח  אוקטובר
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29061 ₪ שייך לחב. לפיתוח "אופק"
</t>
        </r>
      </text>
    </comment>
    <comment ref="R7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11.9.16 : הזרמת תקציב 500 אלשח
הזרמה 3 מלשח  אוקטובר</t>
        </r>
      </text>
    </comment>
    <comment ref="Y7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Y8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</t>
        </r>
      </text>
    </comment>
    <comment ref="Y8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Y89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
</t>
        </r>
      </text>
    </comment>
    <comment ref="Y91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</t>
        </r>
      </text>
    </comment>
    <comment ref="Y9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9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החינוך: 1625
רמ"י , : 1511 :</t>
        </r>
      </text>
    </comment>
    <comment ref="Y9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9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10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10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</commentList>
</comments>
</file>

<file path=xl/comments4.xml><?xml version="1.0" encoding="utf-8"?>
<comments xmlns="http://schemas.openxmlformats.org/spreadsheetml/2006/main">
  <authors>
    <author>Gizbarut-Orna Goldfriend</author>
  </authors>
  <commentList>
    <comment ref="Q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100 ב - 8.9.16
 עוד 250 הזרמה נוספת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 ב - 8.9.16
הזרמה נוספת 50 מי וש נוסף ספטמבר
</t>
        </r>
      </text>
    </comment>
    <comment ref="Q20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50 ב - 8.9.16
הזרמה נוספת 150 ספטמבר נוסף</t>
        </r>
      </text>
    </comment>
    <comment ref="R6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הזרמה ספטמבר  2 מלשח</t>
        </r>
      </text>
    </comment>
    <comment ref="Y76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האנרגיה</t>
        </r>
      </text>
    </comment>
  </commentList>
</comments>
</file>

<file path=xl/comments5.xml><?xml version="1.0" encoding="utf-8"?>
<comments xmlns="http://schemas.openxmlformats.org/spreadsheetml/2006/main">
  <authors>
    <author>Gizbarut-Orna Goldfriend</author>
    <author>Tanus-Yulia pesis</author>
  </authors>
  <commentList>
    <comment ref="Y9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המדע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Y35" authorId="1">
      <text>
        <r>
          <rPr>
            <b/>
            <sz val="9"/>
            <color indexed="81"/>
            <rFont val="Tahoma"/>
            <family val="2"/>
          </rPr>
          <t>Tanus-Yulia pesis:</t>
        </r>
        <r>
          <rPr>
            <sz val="9"/>
            <color indexed="81"/>
            <rFont val="Tahoma"/>
            <family val="2"/>
          </rPr>
          <t xml:space="preserve">
טוטו</t>
        </r>
      </text>
    </comment>
    <comment ref="D42" authorId="1">
      <text>
        <r>
          <rPr>
            <b/>
            <sz val="9"/>
            <color indexed="81"/>
            <rFont val="Tahoma"/>
            <family val="2"/>
          </rPr>
          <t>Tanus-Yulia pesis:</t>
        </r>
        <r>
          <rPr>
            <sz val="9"/>
            <color indexed="81"/>
            <rFont val="Tahoma"/>
            <family val="2"/>
          </rPr>
          <t xml:space="preserve">
טרם אושר במועצה, אושר בועדת כספים 21.8.16</t>
        </r>
      </text>
    </comment>
  </commentList>
</comments>
</file>

<file path=xl/comments6.xml><?xml version="1.0" encoding="utf-8"?>
<comments xmlns="http://schemas.openxmlformats.org/spreadsheetml/2006/main">
  <authors>
    <author>Gizbarut-Orna Goldfriend</author>
  </authors>
  <commentList>
    <comment ref="Y15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 ביניים. תשלומים דחויים
</t>
        </r>
      </text>
    </comment>
    <comment ref="Y64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</commentList>
</comments>
</file>

<file path=xl/comments7.xml><?xml version="1.0" encoding="utf-8"?>
<comments xmlns="http://schemas.openxmlformats.org/spreadsheetml/2006/main">
  <authors>
    <author>Gizbarut-Orna Goldfriend</author>
  </authors>
  <commentList>
    <comment ref="U1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ירד מ - 100 מאחר ועודכן התקציב ב - 2016 לפי בקשתם מ-50 ל- 300</t>
        </r>
      </text>
    </comment>
  </commentList>
</comments>
</file>

<file path=xl/comments8.xml><?xml version="1.0" encoding="utf-8"?>
<comments xmlns="http://schemas.openxmlformats.org/spreadsheetml/2006/main">
  <authors>
    <author>Gizbarut-Orna Goldfriend</author>
  </authors>
  <commentList>
    <comment ref="Q8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850 ב - 8.9.16</t>
        </r>
      </text>
    </comment>
  </commentList>
</comments>
</file>

<file path=xl/comments9.xml><?xml version="1.0" encoding="utf-8"?>
<comments xmlns="http://schemas.openxmlformats.org/spreadsheetml/2006/main">
  <authors>
    <author>Gizbarut-Orna Goldfriend</author>
    <author>Eng-Sarit Avramovich</author>
  </authors>
  <commentList>
    <comment ref="Y82" author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D98" authorId="1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וועדת כספים של 25/9
</t>
        </r>
      </text>
    </comment>
  </commentList>
</comments>
</file>

<file path=xl/sharedStrings.xml><?xml version="1.0" encoding="utf-8"?>
<sst xmlns="http://schemas.openxmlformats.org/spreadsheetml/2006/main" count="2382" uniqueCount="835">
  <si>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</si>
  <si>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</si>
  <si>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</si>
  <si>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</si>
  <si>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</si>
  <si>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</si>
  <si>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</si>
  <si>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</si>
  <si>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</si>
  <si>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</si>
  <si>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</si>
  <si>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</si>
  <si>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</si>
  <si>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</si>
  <si>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</si>
  <si>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</si>
  <si>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פרק תב"ר</t>
  </si>
  <si>
    <t>תוכנית מתאר נוה עמל</t>
  </si>
  <si>
    <t>תב"ע קמפוס המכללות</t>
  </si>
  <si>
    <t>תכנון מתחם הר' 2200</t>
  </si>
  <si>
    <t>תב"ע הר' 2162 רזיאל</t>
  </si>
  <si>
    <t>תב"עות קטנות</t>
  </si>
  <si>
    <t>תב"ע שיקום חופי הרצליה</t>
  </si>
  <si>
    <t>תב"ע הרחבת רח' שלמה המלך</t>
  </si>
  <si>
    <t>תב"ע הפקעת שטחים</t>
  </si>
  <si>
    <t>תמ"א 38</t>
  </si>
  <si>
    <t>מעונות שרה התחדשות עירונית</t>
  </si>
  <si>
    <t>קשר גשר</t>
  </si>
  <si>
    <t>תכנון פרויקטים פינוי בינוי</t>
  </si>
  <si>
    <t>הסדרת רישוי מבני ציבור קיימים</t>
  </si>
  <si>
    <t>הפרדה מפלסית הרב קוק/ז'בוטינסק</t>
  </si>
  <si>
    <t>התחדשות עירונית</t>
  </si>
  <si>
    <t>פינוי בינוי מעונות שרה</t>
  </si>
  <si>
    <t>תב"ע 2159</t>
  </si>
  <si>
    <t>מסמכי מדיניות להתחדשות עירונית בשכונות</t>
  </si>
  <si>
    <t>תב"ע לדיור בר השגה ברב קוק</t>
  </si>
  <si>
    <t>תכנון כיכר העיר</t>
  </si>
  <si>
    <t>תוכנית אסטרטגית להתי' עירונית במרכז העיר</t>
  </si>
  <si>
    <t>תוכנית אסטרטגית להתי' עירונית באזהת"ש</t>
  </si>
  <si>
    <t>תוכנית אסטרטגית לחידוש מרכזים מסחריים בשכונות</t>
  </si>
  <si>
    <t>תב"ע חניון שטח מרינה לי 2073</t>
  </si>
  <si>
    <t>בקשות להיתר בלתי צפויות</t>
  </si>
  <si>
    <t>מתחם הבריגדה מתחם הר' 1960</t>
  </si>
  <si>
    <t>מחלף הרב מכר</t>
  </si>
  <si>
    <t>פיתוח מתחם אלוני ים הר' 2030</t>
  </si>
  <si>
    <t>רח' ז'בוטינסקי אלתרמן הבריגדה</t>
  </si>
  <si>
    <t>פיתוח מתחם "מרינה לי"</t>
  </si>
  <si>
    <t>תכנון חניון במתחם אגד</t>
  </si>
  <si>
    <t>יעודי קרקע -מפת בסיס</t>
  </si>
  <si>
    <t>עבודות ניקוז בעיר</t>
  </si>
  <si>
    <t>פת' בעיות קונסטרוקציה</t>
  </si>
  <si>
    <t>עבודות פיתוח ותשתיות קטנות</t>
  </si>
  <si>
    <t>פרויקטים תחבורתיים בעיר</t>
  </si>
  <si>
    <t>תכנונים כלליים</t>
  </si>
  <si>
    <t>השלמת מבנה העיריה החדש</t>
  </si>
  <si>
    <t>מתחם נוף ים פיתוח</t>
  </si>
  <si>
    <t>שכ"ט טיפול תביעות בנושאי היטלי פיתוח וסוגיות תכנון</t>
  </si>
  <si>
    <t>מתחם יהודה המכבי וזוהר טל</t>
  </si>
  <si>
    <t>ליווי תשתיות לאומיות</t>
  </si>
  <si>
    <t>רחובות תדהר קורן ואנה פרנק</t>
  </si>
  <si>
    <t>פתוח קטעי רח' דרך ירושלים גולומב</t>
  </si>
  <si>
    <t>רחוב בר כוכבא</t>
  </si>
  <si>
    <t>העתקות פרויקטים שונים</t>
  </si>
  <si>
    <t>שיפוץ אולם ספורט היובל</t>
  </si>
  <si>
    <t>פיתוח רח' אבוקה מולדת</t>
  </si>
  <si>
    <t>חיבור גשר הולכי רגל כביש 20</t>
  </si>
  <si>
    <t>צומת סוקולוב בן גוריון</t>
  </si>
  <si>
    <t>תכנון בנייה ציבורית</t>
  </si>
  <si>
    <t>מערכת בקרת רמזורים</t>
  </si>
  <si>
    <t>תכנון דיור בר השגה ברב קוק</t>
  </si>
  <si>
    <t>תכנון דיור בר השגה בשכונת ויצמן</t>
  </si>
  <si>
    <t>חיבור מערכת ניקוז לכביש 20</t>
  </si>
  <si>
    <t>החלפת מדרכות</t>
  </si>
  <si>
    <t>מתחם הגאון מוילנא חתם סופר</t>
  </si>
  <si>
    <t>פ.מתחם רזיאל מע' תב"ע 1706</t>
  </si>
  <si>
    <t>חניונים ברחבי העיר</t>
  </si>
  <si>
    <t>אולם ספורט בי"ס וולפסון</t>
  </si>
  <si>
    <t>רח' גבעת החלומות פיתוח</t>
  </si>
  <si>
    <t>פארק הבאסה שלב ב'</t>
  </si>
  <si>
    <t>שצ"פ אל על והמינהרה</t>
  </si>
  <si>
    <t>ספורטק שלב ג'</t>
  </si>
  <si>
    <t>תוכנית אב לתחבורה בהרצליה</t>
  </si>
  <si>
    <t>שדרוג הארכיב</t>
  </si>
  <si>
    <t>בנית ספריה נווה עמל</t>
  </si>
  <si>
    <t>רח' אזר וההסתדרות</t>
  </si>
  <si>
    <t>הוצאות בקשר עם תביעות סעיף 197</t>
  </si>
  <si>
    <t>פיתוח פארק שלב ג'</t>
  </si>
  <si>
    <t>הוצאות אכיפה-דירות נופש במרינה</t>
  </si>
  <si>
    <t>בית כנסת שיכון דרום</t>
  </si>
  <si>
    <t>כיכר בן גוריון הבנים</t>
  </si>
  <si>
    <t>צומת מנדבלט שמואל הנגיד</t>
  </si>
  <si>
    <t>הסדרת תעלה ותפיסת קיץ בר כוכבא</t>
  </si>
  <si>
    <t>מתקן משחקים פארק-תיקון</t>
  </si>
  <si>
    <t>פיתוח מדרכה סמוך למוסך דן</t>
  </si>
  <si>
    <t>איטום גג מוזיאון הרצליה</t>
  </si>
  <si>
    <t>פיתוח פארק הבאסה</t>
  </si>
  <si>
    <t>כביש הואדי</t>
  </si>
  <si>
    <t>ויגייט דרום סטרומה</t>
  </si>
  <si>
    <t>מתחם רחוב משה</t>
  </si>
  <si>
    <t>פרויקט   G I.S עירוני</t>
  </si>
  <si>
    <t>גינון ושדרוג החצר תיכון ראשונים</t>
  </si>
  <si>
    <t>המרכז החדש שלב ב'-רח' בן גוריון</t>
  </si>
  <si>
    <t xml:space="preserve">       </t>
  </si>
  <si>
    <t>סה"כ הנדסה</t>
  </si>
  <si>
    <t>תכנון ייעוץ הנדסי "סל"</t>
  </si>
  <si>
    <t>החלפת גגות אסבסט</t>
  </si>
  <si>
    <t>שיפוץ מבני דת ציבוריים</t>
  </si>
  <si>
    <t>שיפוצים מוס"ח תוכנית אב</t>
  </si>
  <si>
    <t>התק' תמרורים מהבהבים</t>
  </si>
  <si>
    <t>בטיחות אש במוס"ח</t>
  </si>
  <si>
    <t>התקנה שדרוג מזגנים במוס' העיריה</t>
  </si>
  <si>
    <t>מיזוג אוויר במוס"ח</t>
  </si>
  <si>
    <t>צביעה יסודית גנ"י ברחבי העיר</t>
  </si>
  <si>
    <t>צביעה יסודית בי"ס ברחבי העיר</t>
  </si>
  <si>
    <t>הצללות בי"ס וגנ"י</t>
  </si>
  <si>
    <t>החלפת חול בארגזי חול</t>
  </si>
  <si>
    <t>בטיחות מוס"ח</t>
  </si>
  <si>
    <t>גידור מוס"ח</t>
  </si>
  <si>
    <t>ריהוט גנ"י</t>
  </si>
  <si>
    <t>הסדרת חניונים ברחבי העיר</t>
  </si>
  <si>
    <t>שיפוץ מבני תנו"ס</t>
  </si>
  <si>
    <t>התקנת מצלמות ברחבי העיר</t>
  </si>
  <si>
    <t>שדרוג מערכות כיבוי אש במחסני העירייה</t>
  </si>
  <si>
    <t>עבודות שונות בפארק הרצליה</t>
  </si>
  <si>
    <t>שדרוג מקלטים ציבוריים</t>
  </si>
  <si>
    <t>שיפוץ מרכז צעירים</t>
  </si>
  <si>
    <t>שיפוצים מוס"ח 2014</t>
  </si>
  <si>
    <t>עבודות התאמה לתקן חדש מ. ספורט</t>
  </si>
  <si>
    <t>שדרוג תאורת רחוב</t>
  </si>
  <si>
    <t>שדרוג הרחבה שפ"ח,"תיכון לחיים"</t>
  </si>
  <si>
    <t>בניית שרותים בי"ס הנדיב</t>
  </si>
  <si>
    <t>רכישת מחסני חצר לגנ"י</t>
  </si>
  <si>
    <t>החלפת גופי תאורה ללדים</t>
  </si>
  <si>
    <t>עבודות קייץ בי"ס,גנ"י</t>
  </si>
  <si>
    <t>הנגשה ביוחנני(כולל מעלית)</t>
  </si>
  <si>
    <t>שיפוץ גני ילדים</t>
  </si>
  <si>
    <t>סה"כ ת.ב.ל</t>
  </si>
  <si>
    <t>גידור שיפוץ גדרות מ.ספורט</t>
  </si>
  <si>
    <t>הצטיידות מעון יום</t>
  </si>
  <si>
    <t>הצטיידות מבנה תרבות עירוני</t>
  </si>
  <si>
    <t>פרויקט שיגור לווין 2 דוכיפת 2</t>
  </si>
  <si>
    <t>גידור מגרשי טניס נ.עמל</t>
  </si>
  <si>
    <t>הצטיידות כיתות חדשות בי"ס-נתיב</t>
  </si>
  <si>
    <t>רכישת כלי נגינה בקונסבטוריון</t>
  </si>
  <si>
    <t>מיזוג אוויר בכיתות לימוד בי"ס חינוך ימי</t>
  </si>
  <si>
    <t>רכישת מכשירי החייאה עפ"י חוק</t>
  </si>
  <si>
    <t>הצטידות כיתות חדשות בי"ס</t>
  </si>
  <si>
    <t>מתקני כושר חוף הים</t>
  </si>
  <si>
    <t>פיתוח חופי רחצה 2011</t>
  </si>
  <si>
    <t>רכישת 2 טרקטורים רשות החופים</t>
  </si>
  <si>
    <t>אסדות הצלה לאופנועי ים</t>
  </si>
  <si>
    <t>פיתוח חופי רחצה 2014/2015</t>
  </si>
  <si>
    <t>גידור חופי רחצה</t>
  </si>
  <si>
    <t>ציוד הצלה 2014</t>
  </si>
  <si>
    <t>רכב מיול כולל זיווד 2014</t>
  </si>
  <si>
    <t>סה"כ חופים</t>
  </si>
  <si>
    <t>מדידות נכסים לחיוב היטלי פיתוח</t>
  </si>
  <si>
    <t>בדיקות חיוב להיטלי פיתוח</t>
  </si>
  <si>
    <t>הפרשה בגין תביעות תלויות</t>
  </si>
  <si>
    <t>עלויות בקשר עם תביעה פרויקטים</t>
  </si>
  <si>
    <t>הלוואה לטובת אוצר המדינה</t>
  </si>
  <si>
    <t>סה"כ כללי</t>
  </si>
  <si>
    <t>שימור רצועת החוף</t>
  </si>
  <si>
    <t>יער עירוני וגינות קהילתיות</t>
  </si>
  <si>
    <t>תוכ' אב להפחתת זיהום אויר</t>
  </si>
  <si>
    <t>הפרדה פסולת במקור</t>
  </si>
  <si>
    <t>הכנת תוכנית אב לקיימות בעיריית</t>
  </si>
  <si>
    <t>הטמעת עקרונות הקיימות בחינוך</t>
  </si>
  <si>
    <t>רכישת מתקנים לאיסוף פסולת אלקט</t>
  </si>
  <si>
    <t>סה"כ איכות הסביבה</t>
  </si>
  <si>
    <t>תשתיות תקשורת</t>
  </si>
  <si>
    <t>שדרוג תשתיות מידע</t>
  </si>
  <si>
    <t>שדרוג מערכות הליבה</t>
  </si>
  <si>
    <t>מחשב לכל גן</t>
  </si>
  <si>
    <t>סה"כ מיחשוב ומע. מידע</t>
  </si>
  <si>
    <t>שיפוץ דירות עמידר</t>
  </si>
  <si>
    <t>שיפוץ חזיתות "המרכז החדש"</t>
  </si>
  <si>
    <t>חזיתות בתים שיפוץ</t>
  </si>
  <si>
    <t>סה"כ שיפוץ חיזתות/בתים עמידר</t>
  </si>
  <si>
    <t>פצוי והפקעה ב-6525/6 הר' 1704</t>
  </si>
  <si>
    <t>רכישת חנויות במ.דגניה</t>
  </si>
  <si>
    <t>בית הרמלין-חלקה 92-גוש 6592</t>
  </si>
  <si>
    <t>פיצויי הפקעה - פארק הבאסה</t>
  </si>
  <si>
    <t>עלויות רכישת מקרקעין</t>
  </si>
  <si>
    <t>פיצויי הפקעה הר'1941 פארק הבאסה</t>
  </si>
  <si>
    <t>פיצויי הפקעה 6525 חל' 66,75,74 אינבסטלום הולדינגס</t>
  </si>
  <si>
    <t>פיצויי הפקעה גוש 6525 חל' 130,131</t>
  </si>
  <si>
    <t>תביעה פינוי גוש 6521 רחמים</t>
  </si>
  <si>
    <t>רכישת חנייה חניון "דיזנגוף"</t>
  </si>
  <si>
    <t>שיפוץ ב"מ ספריה+חניון גוש 6532 -346</t>
  </si>
  <si>
    <t>סה"כ נכסים וביטוח</t>
  </si>
  <si>
    <t>שד' מע.השקייה ממוחשבות מוס"ח</t>
  </si>
  <si>
    <t>המרכז החדש-ריהוט רחוב וגן</t>
  </si>
  <si>
    <t>הנגשת גינות ציבוריות</t>
  </si>
  <si>
    <t>הקמת גינות לכלבים</t>
  </si>
  <si>
    <t>סככות הצללה לגני משחקים</t>
  </si>
  <si>
    <t>שדרוג תשתיות משטחי גומי גינות</t>
  </si>
  <si>
    <t>נטיעת עצים ברחבי העיר</t>
  </si>
  <si>
    <t>ריהוט משרד אגף שאיפה</t>
  </si>
  <si>
    <t>ריהוט רחוב</t>
  </si>
  <si>
    <t>סקר עצים מסוכנים ברחבי העיר</t>
  </si>
  <si>
    <t>סה"כ ש.א.י.פ.ה</t>
  </si>
  <si>
    <t>מערכת כבישים בא.ת.מערבי</t>
  </si>
  <si>
    <t>פתוח מתחם השמעוני תב"ע 1918</t>
  </si>
  <si>
    <t>מתחם שלמה המלך ומלכת אסתר</t>
  </si>
  <si>
    <t>פיתוח מתחם המסילה ודב הוז</t>
  </si>
  <si>
    <t>בית העלמין החדש</t>
  </si>
  <si>
    <t>מתחם המשתלה  תבע 1874</t>
  </si>
  <si>
    <t>פיתוח מתחם בנחלת עדה</t>
  </si>
  <si>
    <t>עבודות פיתוח קטנות</t>
  </si>
  <si>
    <t>מתחם זרובבל</t>
  </si>
  <si>
    <t>כצלנסון-פיתוח</t>
  </si>
  <si>
    <t xml:space="preserve">הקמת בריכה ומרכז לאומנות </t>
  </si>
  <si>
    <t>כלביה</t>
  </si>
  <si>
    <t>מבנה תרבות במערב העיר</t>
  </si>
  <si>
    <t>עבודות פינוי ומיחזור הר' 1903</t>
  </si>
  <si>
    <t>הקמת מקווה רח' אהרון</t>
  </si>
  <si>
    <t>שבט צופים</t>
  </si>
  <si>
    <t>בית הגמלאי</t>
  </si>
  <si>
    <t>סה"כ החברה לפיתוח הרצליה</t>
  </si>
  <si>
    <t>תב"ע חוף הים</t>
  </si>
  <si>
    <t>סה"כ החברה לפיתוח התיירות</t>
  </si>
  <si>
    <t>קע"פ</t>
  </si>
  <si>
    <t>אחרים</t>
  </si>
  <si>
    <t>ש.א.י.פ.ה</t>
  </si>
  <si>
    <t>חופים</t>
  </si>
  <si>
    <t>מתקני משחק ,ריהוט גן ומשטחי גומי</t>
  </si>
  <si>
    <t>איכות הסביבה</t>
  </si>
  <si>
    <t>פרויקטים דחופים בצ"מ 2015/2016</t>
  </si>
  <si>
    <t>ריכוז לפי אגפים/יחידות</t>
  </si>
  <si>
    <t>מרכיבי העלות</t>
  </si>
  <si>
    <t>מקורות מימון לפרויקט</t>
  </si>
  <si>
    <t>אגף/יחידה</t>
  </si>
  <si>
    <t>אומדן כולל לפרויקט</t>
  </si>
  <si>
    <t>תוספת לאומדן  לאישור מועצה</t>
  </si>
  <si>
    <t xml:space="preserve">יתרת תקציב 
</t>
  </si>
  <si>
    <t xml:space="preserve">אגף הנדסה </t>
  </si>
  <si>
    <t>החב' לפיתוח הרצליה</t>
  </si>
  <si>
    <t xml:space="preserve">אגף ת.ב.ל </t>
  </si>
  <si>
    <t>אגף חינוך ,רווחה וספורט</t>
  </si>
  <si>
    <t xml:space="preserve">אגף ש.א.י.פ.ה </t>
  </si>
  <si>
    <t xml:space="preserve">חופים </t>
  </si>
  <si>
    <t xml:space="preserve">איכות הסביבה </t>
  </si>
  <si>
    <t>החברה לפיתוח התיירות</t>
  </si>
  <si>
    <t xml:space="preserve">מיחשוב ומע. מידע </t>
  </si>
  <si>
    <t xml:space="preserve">מח' נכסים וביטוח </t>
  </si>
  <si>
    <t xml:space="preserve">שיפוץ חזיתות/עמידר </t>
  </si>
  <si>
    <t xml:space="preserve">כללי </t>
  </si>
  <si>
    <t>סה"כ</t>
  </si>
  <si>
    <t>קרן עודפי ת.ר.</t>
  </si>
  <si>
    <t xml:space="preserve">יתרת מקורות מימון </t>
  </si>
  <si>
    <t>הפרש עודף (חוסר)</t>
  </si>
  <si>
    <t xml:space="preserve">תקציב מאושר  </t>
  </si>
  <si>
    <t>תב"ע לדיור בר השגה בשמשון הגיבור</t>
  </si>
  <si>
    <t>צפון הרצליה הר' 2035</t>
  </si>
  <si>
    <t>הסדרת שצ"פ למגורים הר' 2257</t>
  </si>
  <si>
    <t>פיתוח מתחם גליל ים הר' 1985 א'</t>
  </si>
  <si>
    <t>פיתוח מתחם המכללות הר' 1920/1</t>
  </si>
  <si>
    <t>פתוח מתחם הר' 1972 תחנה מרכזית</t>
  </si>
  <si>
    <t>גינת כלבים בפארק שלב א'</t>
  </si>
  <si>
    <t>מדרכה ליד בי"ס לאומנויות</t>
  </si>
  <si>
    <t>רחוב החרש</t>
  </si>
  <si>
    <t>חניון פדקו</t>
  </si>
  <si>
    <t>תכנון מבנה מעונות הסטודנטים</t>
  </si>
  <si>
    <t>שיקום האגם בפארק</t>
  </si>
  <si>
    <t>החברה לפיתוח הרצליה</t>
  </si>
  <si>
    <t>אגף ת.ב.ל</t>
  </si>
  <si>
    <t>אגף חינוך, רווחה וספורט</t>
  </si>
  <si>
    <t>החברה לפיתוח התיירות הרצליה</t>
  </si>
  <si>
    <t>הקמת בריכה לימודית במרכז הספורט החדש</t>
  </si>
  <si>
    <t>יחידת מיחשוב ומערכות מידע</t>
  </si>
  <si>
    <t>מחלקת נכסים וביטוח</t>
  </si>
  <si>
    <t>שיפוץ חזיתות/בתים עמידר</t>
  </si>
  <si>
    <t>כללי</t>
  </si>
  <si>
    <t>שיפוץ ובינוי נכסים עירוניים כולל תשתיות</t>
  </si>
  <si>
    <t>זרובבל השלמת מדרכות בכביש 100</t>
  </si>
  <si>
    <t xml:space="preserve">בניית ממדים בגני ילדים </t>
  </si>
  <si>
    <r>
      <t>שדרוג מערכת השקייה ממוחשבות (</t>
    </r>
    <r>
      <rPr>
        <b/>
        <sz val="11"/>
        <rFont val="David"/>
        <family val="2"/>
        <charset val="177"/>
      </rPr>
      <t>חדשים)</t>
    </r>
  </si>
  <si>
    <r>
      <t>שיקום ,שד' ,הק' ונגישות גינות ציבוריות (</t>
    </r>
    <r>
      <rPr>
        <b/>
        <sz val="11"/>
        <rFont val="David"/>
        <family val="2"/>
        <charset val="177"/>
      </rPr>
      <t>נגישות גינות)</t>
    </r>
  </si>
  <si>
    <t>מבני ציבור רשות מתחם גליל ים</t>
  </si>
  <si>
    <t>מועדון פטנג בספורטק</t>
  </si>
  <si>
    <t>תב"ע קרית השחקים</t>
  </si>
  <si>
    <t>פית' מדרגות קיר תומך פנחס רוזן</t>
  </si>
  <si>
    <t>שביל אופניים הרצליה-ת"א הפקעות</t>
  </si>
  <si>
    <t>תכנון דיור בן ציון מיכאלי</t>
  </si>
  <si>
    <t>בניית הצללה בפארק</t>
  </si>
  <si>
    <t>תכנון גבעת התחמושת</t>
  </si>
  <si>
    <t>פיתוח רח' צהל</t>
  </si>
  <si>
    <t>הקמת חניון ציבורי רח' ספיר</t>
  </si>
  <si>
    <t>הקמת חניון ציבורי ליד סובארו</t>
  </si>
  <si>
    <t>שינוי רמזורים מדינת היהודים</t>
  </si>
  <si>
    <t>שיפוץ המקווה העירוני</t>
  </si>
  <si>
    <t>החלפת צ'ילרים אשכול פייס</t>
  </si>
  <si>
    <t>רכישת רכבים חדשים</t>
  </si>
  <si>
    <t>הקמת גינות בי"ס קהילתיות</t>
  </si>
  <si>
    <t>אגף ש.א.י.פ.ה/חופים/איכות הסביבה</t>
  </si>
  <si>
    <t>פיצויי הפקעה פארק הבאסה - פס"ד</t>
  </si>
  <si>
    <t>רכ' חז' חנות ד.מ.962/0766פינקו</t>
  </si>
  <si>
    <t>הצעת התקציב הבלתי רגיל לשנת 2017</t>
  </si>
  <si>
    <t>אומדן לביצוע שנת 2017</t>
  </si>
  <si>
    <t>אומדן לביצוע שנת 2018 ואילך</t>
  </si>
  <si>
    <t>תקציב נוסף נדרש במסגרת תוכנית עבודה2016</t>
  </si>
  <si>
    <t>תקציב נוסף נדרש מעבר לתוכנית עבודה2016</t>
  </si>
  <si>
    <t>סה"כ תקציב נוסף נדרש 2016</t>
  </si>
  <si>
    <t>יתרת תקציב פנויה 31.12.2016</t>
  </si>
  <si>
    <t>תקציב נדרש 2017</t>
  </si>
  <si>
    <t>פיתוח שצ"פים במורדי הגטאות</t>
  </si>
  <si>
    <t>מתנ"ס נווה ישראל</t>
  </si>
  <si>
    <t>פיתוח מ.מתנס נווה עמל ומ.טניס</t>
  </si>
  <si>
    <t>רחבת בנין עיריה חדש</t>
  </si>
  <si>
    <t>תב"עות הר' 1985 ג'ד'ה'</t>
  </si>
  <si>
    <t>תוכנית מתאר ארצית הגנה מצוקים</t>
  </si>
  <si>
    <t>תב"ע דרום אפולוניה</t>
  </si>
  <si>
    <t>תב"ע תחנה מרכזית חדשה זמנית</t>
  </si>
  <si>
    <t>פינוי בינוי מול התחנה</t>
  </si>
  <si>
    <t>פינוי בינוי סוקולוב שד ירושלים</t>
  </si>
  <si>
    <t>פיתוח מתחם אולפני הרצליה</t>
  </si>
  <si>
    <t>קו ניקוז שער הים</t>
  </si>
  <si>
    <t>פיתוח מתחם הר' 1903</t>
  </si>
  <si>
    <t>שימור אתרים</t>
  </si>
  <si>
    <t xml:space="preserve">פינוי בינוי צומת כדורי </t>
  </si>
  <si>
    <t>כיתות גן 4 שטח 301 גליל ים א'</t>
  </si>
  <si>
    <t>כיתות גן 4 שטח 302 גליל ים א'</t>
  </si>
  <si>
    <t>הס' צומת ברנר בר כוכבא בן גוריון</t>
  </si>
  <si>
    <t>העצמאות קטע בן גוריון קהילת ציון</t>
  </si>
  <si>
    <t>שצ"פ מערב קיר אקוסטי גליל ים ב'</t>
  </si>
  <si>
    <t>מיזוג אוויר אולם ספורט אלון</t>
  </si>
  <si>
    <t>שדרוג האצטדיון+ שד' חווית צפיה</t>
  </si>
  <si>
    <t>פארק גליל ים שלב א'</t>
  </si>
  <si>
    <t>בית כנסת "אור זרוע"-תוס.קומה</t>
  </si>
  <si>
    <t>חניונים הר'1900 -שינוי תב"ע</t>
  </si>
  <si>
    <t>דיור בר השגה</t>
  </si>
  <si>
    <t>שיפוץ חניון לב העיר</t>
  </si>
  <si>
    <t>בנית ספריה שטח 408 גליל ים ב'</t>
  </si>
  <si>
    <t>פיתוח גליל ים ב'</t>
  </si>
  <si>
    <t>עבודות הרחבה התאמה איצטדיון</t>
  </si>
  <si>
    <t>הנגשת בית ראשונים</t>
  </si>
  <si>
    <t>שיפוץ מבנה למרכז תרבות לצעירים</t>
  </si>
  <si>
    <t>שיפוץ מוסדות על"ה</t>
  </si>
  <si>
    <t>הקמת בית אומנות וטבע בית קינן</t>
  </si>
  <si>
    <t>תכנון רכבת עילית איזור תעשיה</t>
  </si>
  <si>
    <t>הכנת תוכנית אב לשירותי חינוך</t>
  </si>
  <si>
    <t>הקמת הצללות בפארק</t>
  </si>
  <si>
    <t>פרויקטים קטנים רזרבה אגפית</t>
  </si>
  <si>
    <t>תיקון ליקויים ס. כיבוי אש בי"ס</t>
  </si>
  <si>
    <t>שיפוץ חטיבה צעירה ברנדייס</t>
  </si>
  <si>
    <t>שיפוצים שונים מתנ"ס יד התשעה</t>
  </si>
  <si>
    <t>הח' צנרת מים/כיבוי אש חט"ב זאב</t>
  </si>
  <si>
    <t>שדרוג שרותים בגנים</t>
  </si>
  <si>
    <t>שיפוץ ותוספת בניה בי"ס בר אילן</t>
  </si>
  <si>
    <t>תוספת בניה בי"ס אילנות</t>
  </si>
  <si>
    <t>שיפוץ בי"ס מפתן ארז</t>
  </si>
  <si>
    <t>התקנת תאורה כיכר יערה</t>
  </si>
  <si>
    <t>תוספת בניה ביכנ עטרת יעקב</t>
  </si>
  <si>
    <t>התקנת מעלית בי"ס שז"ר</t>
  </si>
  <si>
    <t>שיפוץ מרכז קהילתי נחלת עדה</t>
  </si>
  <si>
    <t>מע. תאורה LED ברחבי העיר</t>
  </si>
  <si>
    <t>החל' צ'ילרים מוע.נוער,יד לבנים</t>
  </si>
  <si>
    <t>שיפוץ בית הכנסת הגדול</t>
  </si>
  <si>
    <t>התאמת מבנים כיתות בי"ס רמב"ם</t>
  </si>
  <si>
    <t>כיתות גן  4 שטח 408 גליל ים ב'</t>
  </si>
  <si>
    <t>קירוי והצללה מגרשי ספורט עירוני</t>
  </si>
  <si>
    <t>החלפת תאורה באולמות ספורט</t>
  </si>
  <si>
    <t>רכישת  מכשירים ייבוש ידיים  בי"ס</t>
  </si>
  <si>
    <t>שיפוץ מעבדות,קולנוע תיכון ראשונים</t>
  </si>
  <si>
    <t>הצטיידות גנ"י חדשים ח"ר,ח"מ</t>
  </si>
  <si>
    <t>חינוך</t>
  </si>
  <si>
    <t>סה"כ חינוך</t>
  </si>
  <si>
    <t>תנו"ס</t>
  </si>
  <si>
    <t>מתקן סל אולם נוף ים</t>
  </si>
  <si>
    <t>הקמת מ.תאורה מ.ספורט בן גוריון</t>
  </si>
  <si>
    <t>סה"כ תנו"ס</t>
  </si>
  <si>
    <t>סה"כ חינוך ותנו"ס</t>
  </si>
  <si>
    <t>מע. התראה לרעידת אדמה בי"ס</t>
  </si>
  <si>
    <t>גנרטורים מושתקים לחרום</t>
  </si>
  <si>
    <t>אגף בטחון, פיקוח  וסדר ציבורי</t>
  </si>
  <si>
    <t>סה"כ אגף בטחון פיקוח וסדר ציבורי</t>
  </si>
  <si>
    <t>שילוט הכוונה למלונות</t>
  </si>
  <si>
    <t>תב"ע מרינה</t>
  </si>
  <si>
    <t>תכנון פיתוח רחוב רמת ים</t>
  </si>
  <si>
    <t>תל מיכל</t>
  </si>
  <si>
    <t>עבודות הנגשה חוף אכדיה</t>
  </si>
  <si>
    <t>פיתוח גן לאומי אפולוניה</t>
  </si>
  <si>
    <t>חוף דרומי-כניסה חוף,טיילת העוגן</t>
  </si>
  <si>
    <t>פרויקטים סביבתיים</t>
  </si>
  <si>
    <t>ריהוט הצטידות כלביה חדשה</t>
  </si>
  <si>
    <t>תקשורת מיחשוב ומצלמות כלביה</t>
  </si>
  <si>
    <t>תוכנית שיווק והפרדת פסולת</t>
  </si>
  <si>
    <t>שיקום שכונות עירוני טיפול מרחב</t>
  </si>
  <si>
    <t>אופנוע ים</t>
  </si>
  <si>
    <t>שילוט חופי רחצה</t>
  </si>
  <si>
    <t>פיתוח חופי רחצה 2016/2017</t>
  </si>
  <si>
    <t>רכישת מיול תחזוקת חופי רחצה</t>
  </si>
  <si>
    <t>עבודות הגנה מצוקים וגידור חופי</t>
  </si>
  <si>
    <t>החלפת צנרת קו ראשי חופים זבולו</t>
  </si>
  <si>
    <t>ציוד בטיחות לחופי רחצה</t>
  </si>
  <si>
    <t>מיול לפיקוח חופי רחצה</t>
  </si>
  <si>
    <t>כסאות ים 2 לנכים חופים</t>
  </si>
  <si>
    <t>ציוד הצלה חופי רחצה</t>
  </si>
  <si>
    <t>אופנוע ים חופי רחצה</t>
  </si>
  <si>
    <t>פיתוח חוף רחצה "חוף הכוכבים"</t>
  </si>
  <si>
    <t>פרויקט "הרצליה נקיה מאסבסט"</t>
  </si>
  <si>
    <t>פרויקט תכסיות וניתוח מרחבי</t>
  </si>
  <si>
    <t>פריסת סיבים אופטים ברחבי העיר</t>
  </si>
  <si>
    <t>אגף בטחון פיקוח וסדר ציבורי</t>
  </si>
  <si>
    <t>חדש</t>
  </si>
  <si>
    <t>כיתות מעון וגן שטח 303 גליל ים א'</t>
  </si>
  <si>
    <t>השקעה בתשתיות והרחבת  בחניונים</t>
  </si>
  <si>
    <t xml:space="preserve">חניון המוסכים-תכנון </t>
  </si>
  <si>
    <t>חניון המדע תכנון</t>
  </si>
  <si>
    <t>תוכנית אב לשילוט</t>
  </si>
  <si>
    <t>ת.ע. 2016</t>
  </si>
  <si>
    <t>יתרה למימוש פרטני</t>
  </si>
  <si>
    <t>החב.לפיתוח</t>
  </si>
  <si>
    <t>הנדסה</t>
  </si>
  <si>
    <t>תב"ר 1547</t>
  </si>
  <si>
    <t>תבל</t>
  </si>
  <si>
    <t>תב"ר 1772</t>
  </si>
  <si>
    <t>תב"ר 1827</t>
  </si>
  <si>
    <t>.</t>
  </si>
  <si>
    <t>תב"ר 1656</t>
  </si>
  <si>
    <t>תב"ר 1836</t>
  </si>
  <si>
    <t>מימוש תקציב 2016 להזרמה</t>
  </si>
  <si>
    <t>תב"ר 1462</t>
  </si>
  <si>
    <t>תב"ר 1854</t>
  </si>
  <si>
    <t>תב"ר 1718</t>
  </si>
  <si>
    <t>מימוש פרטני</t>
  </si>
  <si>
    <t>תב"ר 1912</t>
  </si>
  <si>
    <t>תב"ר 1913</t>
  </si>
  <si>
    <t>תב"ר 1914</t>
  </si>
  <si>
    <r>
      <t xml:space="preserve">בניה חדשה בי"ס אופק </t>
    </r>
    <r>
      <rPr>
        <b/>
        <sz val="11"/>
        <rFont val="David"/>
        <family val="2"/>
        <charset val="177"/>
      </rPr>
      <t>(*) שינוי שם</t>
    </r>
  </si>
  <si>
    <t>פיצויים סעיף 197 תכנית המנהרה</t>
  </si>
  <si>
    <t>נגישות לאנשים עם מוגבלויות</t>
  </si>
  <si>
    <t>תכנית אב חדשה לתחבורה</t>
  </si>
  <si>
    <t>תכנון עיר</t>
  </si>
  <si>
    <t>תבע משולש המנהרה הר' 2350</t>
  </si>
  <si>
    <t>מתחם דן אכדייה ליווי תכנוני</t>
  </si>
  <si>
    <t>סה"כ תכנון עיר</t>
  </si>
  <si>
    <t>חידוש תוקף תכנית המתאר</t>
  </si>
  <si>
    <t>סה"כ התחדשות עירונית</t>
  </si>
  <si>
    <t>תב"רים של הח. לפיתוח</t>
  </si>
  <si>
    <r>
      <t xml:space="preserve">התייעלות בתאורת חוץ עפ"י סקר כולל מוס. עירוניים </t>
    </r>
    <r>
      <rPr>
        <b/>
        <sz val="11"/>
        <rFont val="David"/>
        <family val="2"/>
        <charset val="177"/>
      </rPr>
      <t>(*) שינוי שם</t>
    </r>
  </si>
  <si>
    <t xml:space="preserve">הערכות לפתיחת שנות הלימודים  </t>
  </si>
  <si>
    <t>שיפוץ בי"ס היובל</t>
  </si>
  <si>
    <t>שיפוצים ובטיחות אש מוזיאון</t>
  </si>
  <si>
    <t>התקנת מע. גילוי אש א.ס. היובל</t>
  </si>
  <si>
    <t>החלפת צילרים א.ס. נ. ישראל,סמדר ,נוף ים</t>
  </si>
  <si>
    <t>התאמות נגישות מוסדות חינוך</t>
  </si>
  <si>
    <t>שדרוג המרחב הציבורי</t>
  </si>
  <si>
    <t xml:space="preserve">תקרות אקוסטיות בגנ"י </t>
  </si>
  <si>
    <t>מימושת.ע. 2016</t>
  </si>
  <si>
    <t>קרן עודפים</t>
  </si>
  <si>
    <t>מימוש ת.ע. 2016</t>
  </si>
  <si>
    <t>שיפוצי מוסדות חינוך 2015 (לב טוב ,גורדון)</t>
  </si>
  <si>
    <t>הצטיידות גנ"י ותיקים (מ. הפייס)</t>
  </si>
  <si>
    <t>פרוייקט לווין משותף הרצליה שער הנגב</t>
  </si>
  <si>
    <t>הצטידות חדשה בי"ס אופק</t>
  </si>
  <si>
    <t>הצטידות חדשה בי"ס לב טוב</t>
  </si>
  <si>
    <t>הצטידות חדשה בי"ס גורדון</t>
  </si>
  <si>
    <t>שדרוג סטודיו למחול בחטב בן גוריון</t>
  </si>
  <si>
    <r>
      <t>איטום אולם ספורט בן צבי</t>
    </r>
    <r>
      <rPr>
        <sz val="11"/>
        <color rgb="FFFF0000"/>
        <rFont val="David"/>
        <family val="2"/>
        <charset val="177"/>
      </rPr>
      <t xml:space="preserve"> </t>
    </r>
  </si>
  <si>
    <t xml:space="preserve">סירות מועדון ימי </t>
  </si>
  <si>
    <t>חימר במגרשי הטניס</t>
  </si>
  <si>
    <t>ק. עודפים</t>
  </si>
  <si>
    <t>פרטני</t>
  </si>
  <si>
    <t>מיזוג אוויר אולמות ספורט (אילנות,רעות)</t>
  </si>
  <si>
    <t>רכישת מיכלי אצירה לפסולת ומיחזור</t>
  </si>
  <si>
    <t>פיתוח חורשת נוף ים</t>
  </si>
  <si>
    <t>פיתוח גבעת הפרחים</t>
  </si>
  <si>
    <t>שילוט ברחבי העיר</t>
  </si>
  <si>
    <t>הקמת ביתן חובש "חוף השרון"</t>
  </si>
  <si>
    <t>ת.ע.</t>
  </si>
  <si>
    <t>שאיפה :</t>
  </si>
  <si>
    <t>סגירת תב"ר</t>
  </si>
  <si>
    <t>הצטיידות תקשוב (מ.הפייס)</t>
  </si>
  <si>
    <t>התקנת מערך מצלמות מבני ציבור ומוס"ח</t>
  </si>
  <si>
    <t>קעפ</t>
  </si>
  <si>
    <t>ק.עודפים</t>
  </si>
  <si>
    <t>פיצויי הפקעה פטריאלי 6524/21,22</t>
  </si>
  <si>
    <t>פיצויי הפקעה ארז בן אהרון 6524/52</t>
  </si>
  <si>
    <t>פיצויי הפקעה הרשקוביץ שושנה 6524/58,68</t>
  </si>
  <si>
    <t xml:space="preserve">תביעה -מרינה הרצליה </t>
  </si>
  <si>
    <t>שדרוג כבישים ומדרכות</t>
  </si>
  <si>
    <t>פרויקטים דחופים בצ"מ 2017/2018</t>
  </si>
  <si>
    <t>פיתוח ותשתיות חוף הכוכבים</t>
  </si>
  <si>
    <t>תשתיות כיבוי אש שטחים ציבוריים מרינה</t>
  </si>
  <si>
    <t>שיפורים פיזיים ותכנוניים מתחם מלון הצוק</t>
  </si>
  <si>
    <t>בחב. לפיתוח</t>
  </si>
  <si>
    <t>תב"ר 1920</t>
  </si>
  <si>
    <t>תב"ע גשר קטן במרינה</t>
  </si>
  <si>
    <t>תכנון תב"ע כיכר דה שליט</t>
  </si>
  <si>
    <t>אגף הנדסה</t>
  </si>
  <si>
    <t>יתרה לביצוע צפוי עד 31.12.2016</t>
  </si>
  <si>
    <t>איטום גגות (מוס"ח,מוס. עיריה)</t>
  </si>
  <si>
    <r>
      <t xml:space="preserve">מתחם נוריות  </t>
    </r>
    <r>
      <rPr>
        <b/>
        <sz val="11"/>
        <rFont val="David"/>
        <family val="2"/>
        <charset val="177"/>
      </rPr>
      <t>(*) שינוי שם</t>
    </r>
  </si>
  <si>
    <t>גשר מעל כביש 20</t>
  </si>
  <si>
    <t>גשר הולכי רגל מעל שבעת הכוכבים</t>
  </si>
  <si>
    <t>כיתות גן  נוספות 4 שטח 408 גליל ים ב'</t>
  </si>
  <si>
    <r>
      <t xml:space="preserve">מתחמי כושר </t>
    </r>
    <r>
      <rPr>
        <b/>
        <sz val="11"/>
        <color rgb="FFFF0000"/>
        <rFont val="David"/>
        <family val="2"/>
        <charset val="177"/>
      </rPr>
      <t xml:space="preserve"> </t>
    </r>
  </si>
  <si>
    <t>הכשרת חניון דניאל</t>
  </si>
  <si>
    <r>
      <t xml:space="preserve">תכנון ועדכון  תוכנית אב לשבילי אופניים </t>
    </r>
    <r>
      <rPr>
        <b/>
        <sz val="11"/>
        <rFont val="David"/>
        <family val="2"/>
        <charset val="177"/>
      </rPr>
      <t>(*)שינוי שם</t>
    </r>
  </si>
  <si>
    <r>
      <t xml:space="preserve">ליווי "מהיר" לעיר </t>
    </r>
    <r>
      <rPr>
        <b/>
        <sz val="11"/>
        <rFont val="David"/>
        <family val="2"/>
        <charset val="177"/>
      </rPr>
      <t>(*)שינוי שם</t>
    </r>
  </si>
  <si>
    <r>
      <t>בי"ס חדש מתחם אלתרמן (*)</t>
    </r>
    <r>
      <rPr>
        <b/>
        <sz val="11"/>
        <rFont val="David"/>
        <family val="2"/>
        <charset val="177"/>
      </rPr>
      <t>שינוי שם</t>
    </r>
  </si>
  <si>
    <t>שיפוץ מבני עיריה תרבות עירוניים (תנו"ס)</t>
  </si>
  <si>
    <t xml:space="preserve">שדרוג חצרות במוס"ח </t>
  </si>
  <si>
    <r>
      <t xml:space="preserve">התקנת עמודי תאורה </t>
    </r>
    <r>
      <rPr>
        <strike/>
        <sz val="11"/>
        <rFont val="David"/>
        <family val="2"/>
        <charset val="177"/>
      </rPr>
      <t/>
    </r>
  </si>
  <si>
    <t>בניית גנ"י חדשים (מ. החינוך)</t>
  </si>
  <si>
    <t>נגישות ליקויי שמיעה (מ.החינוך)</t>
  </si>
  <si>
    <t xml:space="preserve">שיפוצים שונים מוס"ח </t>
  </si>
  <si>
    <t>פרויקט שיגור לווין (מ.המדע)</t>
  </si>
  <si>
    <t>הנגשת כיתות ליקויי שמיעה תשע"ה (מ.החנוך)</t>
  </si>
  <si>
    <t>הנגשת כיתות ליקויי שמיעה (מ.החינוך)</t>
  </si>
  <si>
    <t xml:space="preserve">הצטיידות מעבדות תיכון ראשונים </t>
  </si>
  <si>
    <t>הצטיידות בי"ס בהתמחות סייבר (מ. החינוך)</t>
  </si>
  <si>
    <t xml:space="preserve">הזרמות ספטמבר </t>
  </si>
  <si>
    <t>הזרמות ספטמבר נוסף</t>
  </si>
  <si>
    <t>אוקטובר</t>
  </si>
  <si>
    <t>הזרמה אוקטובר</t>
  </si>
  <si>
    <t>הזרמה ספטמבר</t>
  </si>
  <si>
    <t>להזרמה</t>
  </si>
  <si>
    <t>תב"ר 1763</t>
  </si>
  <si>
    <t>הזרמה 14.9.16</t>
  </si>
  <si>
    <t>הזרמה 14.9.15</t>
  </si>
  <si>
    <t>תנוס</t>
  </si>
  <si>
    <t>ספטמבר נוסף</t>
  </si>
  <si>
    <t xml:space="preserve">ת.ע. </t>
  </si>
  <si>
    <t>מימון אחרים</t>
  </si>
  <si>
    <t>הזרמה 8.9.16</t>
  </si>
  <si>
    <t xml:space="preserve">עודכן </t>
  </si>
  <si>
    <t>החב.לתירות</t>
  </si>
  <si>
    <t>תב"ר</t>
  </si>
  <si>
    <t>טרם הוזרם</t>
  </si>
  <si>
    <t>תב"ר חדש</t>
  </si>
  <si>
    <t>תב"ר 1770,1883,19181942,1946,יתרה תב"ר 1917, חדש מועצה דתית</t>
  </si>
  <si>
    <t>תב"ר 1939,1941</t>
  </si>
  <si>
    <t>פיתוח טכנולוגיה עירונית קהילתית שיתופית</t>
  </si>
  <si>
    <t>תב"ר 1945</t>
  </si>
  <si>
    <t>שיפוץ בריכת נורדאו</t>
  </si>
  <si>
    <t>ת1914</t>
  </si>
  <si>
    <t>מתחם גליל ים</t>
  </si>
  <si>
    <t>הר' 2159 התחדשות עירונית יד 9</t>
  </si>
  <si>
    <t>איצטדיון כדורסל</t>
  </si>
  <si>
    <t>עודכן תב"ר 1904 ניקוז שער הים</t>
  </si>
  <si>
    <t>מתחם קמפוס יד גיורא</t>
  </si>
  <si>
    <t>חיבור שכונת גליל ים לנווה ישראל</t>
  </si>
  <si>
    <t xml:space="preserve">מגרש סימולציה לאופניים </t>
  </si>
  <si>
    <t xml:space="preserve">קע"פ - סכום הקיצוץ </t>
  </si>
  <si>
    <t>קע"פ - הצעה</t>
  </si>
  <si>
    <t>תוספת בניה בי"ס יוחנני</t>
  </si>
  <si>
    <t xml:space="preserve">תגבור מתחם הקראוונים </t>
  </si>
  <si>
    <t xml:space="preserve">התקנת סלים חדשים א.ס.רעות אלון </t>
  </si>
  <si>
    <t>תקרות אקוסטיות</t>
  </si>
  <si>
    <t>1.</t>
  </si>
  <si>
    <t>2.</t>
  </si>
  <si>
    <t>3.</t>
  </si>
  <si>
    <t>תב"ר 1409</t>
  </si>
  <si>
    <t>תב"ר 1841</t>
  </si>
  <si>
    <t>טרם התבקש וטרם הוזרם</t>
  </si>
  <si>
    <t>תב"ר 1904 עודכן</t>
  </si>
  <si>
    <t>חדש מוע.דתית</t>
  </si>
  <si>
    <t xml:space="preserve">רכישת ציוד טיפול זיהום חוף ים </t>
  </si>
  <si>
    <t>עירית הרצליה</t>
  </si>
  <si>
    <t>אגף המינהל הכספי – ה ג ז ב ר ו ת</t>
  </si>
  <si>
    <t>הצעת התקציב הבלתי רגיל</t>
  </si>
  <si>
    <t>לשנת 2017</t>
  </si>
  <si>
    <t>הרצליה</t>
  </si>
  <si>
    <t>תאור</t>
  </si>
  <si>
    <t>מבוא</t>
  </si>
  <si>
    <t>התקציב הבלתי רגיל לשנת 2016 – ביצוע</t>
  </si>
  <si>
    <t>הצעת התקציב הבלתי רגיל לשנת ‏2017</t>
  </si>
  <si>
    <t>ריכוז לפי פרקים</t>
  </si>
  <si>
    <t>מקורות מימון</t>
  </si>
  <si>
    <t xml:space="preserve">אגף בטחון פיקוח וסדר ציבורי     </t>
  </si>
  <si>
    <t>אגף חינוך רווחה וספורט</t>
  </si>
  <si>
    <t xml:space="preserve">החברה לתיירות הרצליה     </t>
  </si>
  <si>
    <t xml:space="preserve">אגף מיחשוב ומע. מידע     </t>
  </si>
  <si>
    <t xml:space="preserve">מחלקת נכסים וביטוח         </t>
  </si>
  <si>
    <t xml:space="preserve">שיפוץ חזיתות/בתים עמידר        </t>
  </si>
  <si>
    <t>4.</t>
  </si>
  <si>
    <t>תב"רים לסגירה בשנת 2016</t>
  </si>
  <si>
    <t>נספח א'</t>
  </si>
  <si>
    <t xml:space="preserve">ביצוע תקציב הבלתי רגיל לשנת 2016    </t>
  </si>
  <si>
    <t>נספח ב'</t>
  </si>
  <si>
    <t>פרויקטים בביצוע החברה לפיתוח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</si>
  <si>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</si>
  <si>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</si>
  <si>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 xml:space="preserve">פיתוח ותשתיות, שיפוץ ובניה , בהיקף תקציבי נכבד המבוצעות במשך תקופה ארוכה. </t>
  </si>
  <si>
    <t>מקורות המימון לתב"ר הינם :</t>
  </si>
  <si>
    <t>ü</t>
  </si>
  <si>
    <t xml:space="preserve">מקורות עצמיים של הרשות הכוללים היטלי השבחה , היטלי פיתוח , העברות מתקציב רגיל, 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</si>
  <si>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</si>
  <si>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</si>
  <si>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 xml:space="preserve">ב – 10.2.2014 אושר במליאת הכנסת חוק רשויות איתנות על פיו ניתן לרשויות איתנות המתנהלות </t>
  </si>
  <si>
    <t>ב – 16.3.2014 הכריז משרד הפנים על עיריית הרצליה כעל עירייה איתנה.</t>
  </si>
  <si>
    <t>חברי וועדת הכספים/מועצת העיר מתבקשים לאשר בזאת :</t>
  </si>
  <si>
    <t>תקציב בלתי רגיל לשנת 2017 בהשקעה של</t>
  </si>
  <si>
    <t xml:space="preserve">לביצוע פרויקטים בשנת 2017 בסכום של  </t>
  </si>
  <si>
    <t>התקציב הבלתי רגיל לשנת 2016</t>
  </si>
  <si>
    <t xml:space="preserve">הצעת התקציב הבלתי רגיל לשנת 2016  אושרה במועצת העיר בחודש דצמבר 2015 . </t>
  </si>
  <si>
    <t>מקורות המימון באלפי ₪ היו כדלקמן -</t>
  </si>
  <si>
    <t>קרן מכירת רכוש</t>
  </si>
  <si>
    <t>משרדי ממשלה ואחרים</t>
  </si>
  <si>
    <t xml:space="preserve">להלן נתוני ביצוע באלפי ₪ של התקציב הבלתי רגיל לשנת 2016 : </t>
  </si>
  <si>
    <t>סה"כ תקציב</t>
  </si>
  <si>
    <t xml:space="preserve">משרדי ממשלה ואחרים </t>
  </si>
  <si>
    <t xml:space="preserve">מסגרת תוכנית פיתוח </t>
  </si>
  <si>
    <t>ביצוע כולל צפי עד 31.12.2016</t>
  </si>
  <si>
    <t>אחוז ביצוע</t>
  </si>
  <si>
    <t>תקציב מעבר למסגרת תוכנית הפיתוח  כולל צפי עד 31.12.2016</t>
  </si>
  <si>
    <t xml:space="preserve">סה"כ </t>
  </si>
  <si>
    <t>הצעת התקציב הבלתי רגיל מסתכמת בהשקעה של</t>
  </si>
  <si>
    <t>מתוך אומדן כולל של הפרויקטים בסכום של</t>
  </si>
  <si>
    <t xml:space="preserve">הפרויקטים הבולטים לשנת 2017 הינם :   </t>
  </si>
  <si>
    <t xml:space="preserve">המשך ההשקעות בבניה חדשה כולל שדרוגים של מוסדות חינוך ברחבי העיר. </t>
  </si>
  <si>
    <t>שם פרק</t>
  </si>
  <si>
    <t>שנת  2017</t>
  </si>
  <si>
    <t>שנת 2016</t>
  </si>
  <si>
    <t>נכסים ציבוריים</t>
  </si>
  <si>
    <t>חינוך רווחה וספורט</t>
  </si>
  <si>
    <t>נכסים</t>
  </si>
  <si>
    <t>תרבות הדיור</t>
  </si>
  <si>
    <t>תכנון בנין עיר</t>
  </si>
  <si>
    <t>מינהל כללי</t>
  </si>
  <si>
    <t>שרותים עירוניים שונים</t>
  </si>
  <si>
    <t>מבני דת ציבוריים</t>
  </si>
  <si>
    <t>אגף בטחון,פיקוח וסדר ציבורי</t>
  </si>
  <si>
    <t>אגף ש.א.י.פ.ה</t>
  </si>
  <si>
    <t>חופי רחצה</t>
  </si>
  <si>
    <t>אגף מיחשוב ומידע</t>
  </si>
  <si>
    <t>שיפוץ חזיתות/עמידר</t>
  </si>
  <si>
    <t>אומדן מקורות המימון  באלפי ₪  מפורט להלן -</t>
  </si>
  <si>
    <t>מקור</t>
  </si>
  <si>
    <t>שנת  2016</t>
  </si>
  <si>
    <t>קרן לעבודות פיתוח</t>
  </si>
  <si>
    <t>קרן למכירת רכוש</t>
  </si>
  <si>
    <t>סה"כ משרדי ממשלה ואחרים</t>
  </si>
  <si>
    <t>3.6</t>
  </si>
  <si>
    <t>קרנות הרשות - צפי תנועה באלפי ₪</t>
  </si>
  <si>
    <t>שנת 2017</t>
  </si>
  <si>
    <t>מקורות</t>
  </si>
  <si>
    <t>יתרה צפויה 1.1</t>
  </si>
  <si>
    <t xml:space="preserve">היטלי השבחה ופיתוח שנה שוטפת </t>
  </si>
  <si>
    <t>העברה מתקציב רגיל 2015</t>
  </si>
  <si>
    <t>העברה מתקציב רגיל 2016</t>
  </si>
  <si>
    <t xml:space="preserve">העמקת גביה מהיטלי פיתוח שנה שוטפת </t>
  </si>
  <si>
    <t>סה"כ מקורות</t>
  </si>
  <si>
    <t>שימושים</t>
  </si>
  <si>
    <t>השתתפות בפרעון מילוות מים,ביוב ופיתוח</t>
  </si>
  <si>
    <t>השתתפות בשכ"ע הנדסה לפיתוח ותכנון</t>
  </si>
  <si>
    <t>עודכן ב - 920 אלפי ₪ עדכון איילת 22.9.16</t>
  </si>
  <si>
    <t>מימון תקציב בלתי רגיל</t>
  </si>
  <si>
    <t>סה"כ שימושים</t>
  </si>
  <si>
    <t>31.10.16:</t>
  </si>
  <si>
    <t>עדכון של איילת: 644 אלפי ₪ משיכה נוספת.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</si>
  <si>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</si>
  <si>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</si>
  <si>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</si>
  <si>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</si>
  <si>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רשות מינהל מקרקעי ישראל</t>
  </si>
  <si>
    <t>משרדי ממשלה אחרים</t>
  </si>
  <si>
    <t>מפעל הפייס</t>
  </si>
  <si>
    <t>הכנסות בעד עבודות</t>
  </si>
  <si>
    <t>(*)</t>
  </si>
  <si>
    <t>כללי :</t>
  </si>
  <si>
    <t xml:space="preserve">הנחיות משרד הפנים קובעות :  </t>
  </si>
  <si>
    <t xml:space="preserve">תב"ר שהגיע לסיומו או לא הוחל בביצועו או לא הוצאו בגינו התחייבויות כספיות , עליו להיגרע מקובץ </t>
  </si>
  <si>
    <t xml:space="preserve">התב"רים במערכת הכספית של הרשות המקומית. </t>
  </si>
  <si>
    <t>עודף סופי בחשבון התב"ר יועבר לקרנות הרשות . יש לאשר את סגירת התב"רים במועצת העיר.</t>
  </si>
  <si>
    <t xml:space="preserve">במהלך שנת 2016 אושרה במועצת העיר  סגירת  פרויקטים שהסתיימו/לא נוצלו לשנת 2016 והחזרת </t>
  </si>
  <si>
    <t xml:space="preserve">עודפים לקרנות הרשות בסכום של 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</si>
  <si>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</si>
  <si>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</si>
  <si>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ערך הסף נכון להיום עומד על יותר מ  - 14,000 אלפי ₪.</t>
  </si>
  <si>
    <t>שביל צמרות ישראל (אינטגרציה)</t>
  </si>
  <si>
    <r>
      <t xml:space="preserve">שצ"פ צמרות דרום (השביל הירוק) </t>
    </r>
    <r>
      <rPr>
        <b/>
        <sz val="11"/>
        <rFont val="David"/>
        <family val="2"/>
        <charset val="177"/>
      </rPr>
      <t>(*) שינוי שם</t>
    </r>
  </si>
  <si>
    <t>מרכז תחבורה חדש (ציר בן ציון מיכאלי)</t>
  </si>
  <si>
    <t>סה"כ פרויקטים  מתחם גליל ים</t>
  </si>
  <si>
    <t>שדרוג ריהוט רחוב וגן אזור תעשיה</t>
  </si>
  <si>
    <t>נבדק</t>
  </si>
  <si>
    <t>שיפוץ חזיתות</t>
  </si>
  <si>
    <t>אגף החינוך ותנו"ס</t>
  </si>
  <si>
    <t xml:space="preserve">החברה לפיתוח הרצליה </t>
  </si>
  <si>
    <t xml:space="preserve">הכנסות בעד עבודות </t>
  </si>
  <si>
    <t>הקרן לשמירה על שטחים פתוחים</t>
  </si>
  <si>
    <t>משרד המדע</t>
  </si>
  <si>
    <t>המועצה להסדר הימורים טוטו</t>
  </si>
  <si>
    <t>משרד התשתיות והאנרגיה</t>
  </si>
  <si>
    <t>המשרד להגנת הסביבה</t>
  </si>
  <si>
    <t>מינהל מקרקעי ישראל</t>
  </si>
  <si>
    <t>אגף/מחלקה</t>
  </si>
  <si>
    <t>פרויקטים התחדשות עירונית</t>
  </si>
  <si>
    <t>פרויקטים תכנון עיר</t>
  </si>
  <si>
    <t>פרויקטים בביצוע</t>
  </si>
  <si>
    <t>סכום</t>
  </si>
  <si>
    <t>פרויקטים עיקריים</t>
  </si>
  <si>
    <t>סוג העבודה</t>
  </si>
  <si>
    <t>חלוקת התקציב לפי סוגי עבודות :</t>
  </si>
  <si>
    <t>אחוז</t>
  </si>
  <si>
    <t>מקורות מימון לפרויקטים :</t>
  </si>
  <si>
    <t>מספר הפרויקטים המטופל ע"י אגף הנדסה :</t>
  </si>
  <si>
    <t xml:space="preserve">סך התקציב הנדרש בשנת 2017 ע"י אגף הנדסה מסתכם ב - </t>
  </si>
  <si>
    <t>תכנון שינוי גבולות העיר</t>
  </si>
  <si>
    <t>עבודות ניקוז בעיר, פרויקטים תחבורתיים בעיר, מתחם יהודה המכבי וזוהר טל , רחוב ז'בוטינסקי אלתרמן הבריגדה</t>
  </si>
  <si>
    <t>תב"עות קטנות, תכנון שינוי גבולות העיר, תכנון מתחם הר' 2200</t>
  </si>
  <si>
    <t>שינוי שם : מסומן (*)</t>
  </si>
  <si>
    <t>פרויקט</t>
  </si>
  <si>
    <t>פרויקטים עיקריים בשנת 2017 :</t>
  </si>
  <si>
    <t>מספר הפרויקטים המטופל ע"י החברה לפיתוח בע"מ :</t>
  </si>
  <si>
    <t xml:space="preserve">סך התקציב הנדרש בשנת 2017 ע"י החברה לפיתוח הרצליה  מסתכם ב - </t>
  </si>
  <si>
    <t>החברה לפיתוח הרצליה בע"מ</t>
  </si>
  <si>
    <t>עבודות פינוי פסולת הר' 1903</t>
  </si>
  <si>
    <t>בי"ס חדש מתחם אלתרמן</t>
  </si>
  <si>
    <t>תכנון מתחם אפולוניה</t>
  </si>
  <si>
    <r>
      <t xml:space="preserve">תכנון מתחם אפולוניה </t>
    </r>
    <r>
      <rPr>
        <b/>
        <sz val="11"/>
        <rFont val="David"/>
        <family val="2"/>
        <charset val="177"/>
      </rPr>
      <t>(*) שינוי שם</t>
    </r>
  </si>
  <si>
    <t xml:space="preserve">מתחם גליל ים </t>
  </si>
  <si>
    <t xml:space="preserve">פרויקטים שונים </t>
  </si>
  <si>
    <t xml:space="preserve">מתוכם העיקריים : </t>
  </si>
  <si>
    <r>
      <t xml:space="preserve">קיריית החינוך שטח 406 גליל ים ב' </t>
    </r>
    <r>
      <rPr>
        <b/>
        <sz val="11"/>
        <rFont val="David"/>
        <family val="2"/>
        <charset val="177"/>
      </rPr>
      <t>(*) שינוי שם</t>
    </r>
  </si>
  <si>
    <t>מספר הפרויקטים המטופל ע"י האגף :</t>
  </si>
  <si>
    <t xml:space="preserve">סך התקציב הנדרש בשנת 2017 ע"י האגף  מסתכם ב - </t>
  </si>
  <si>
    <t>אגף ביטחון , פיקוח וסדר ציבורי</t>
  </si>
  <si>
    <t>מספר הפרויקטים המטופל ע"י האגף  :</t>
  </si>
  <si>
    <t>פיר מעלית ומעלית בנין המועצה הדתית</t>
  </si>
  <si>
    <r>
      <t>התקנת גופי תאורה בטכנולוגיה מתקדמת</t>
    </r>
    <r>
      <rPr>
        <b/>
        <sz val="11"/>
        <rFont val="David"/>
        <family val="2"/>
        <charset val="177"/>
      </rPr>
      <t xml:space="preserve"> (*) שינוי שם </t>
    </r>
  </si>
  <si>
    <t xml:space="preserve">רכישת גנרטור לזמן חרום </t>
  </si>
  <si>
    <t xml:space="preserve">סך התקציב הנדרש בשנת 2017 ע"י רשות החופים  מסתכם ב - </t>
  </si>
  <si>
    <t>רשות חופים</t>
  </si>
  <si>
    <t>האגף אחראי בין היתר על רשות החופים והיחידה לאיכות הסביבה.</t>
  </si>
  <si>
    <t>אגף שאיפה</t>
  </si>
  <si>
    <t xml:space="preserve">סך התקציב הנדרש בשנת 2017 ע"י החברה  מסתכם ב - </t>
  </si>
  <si>
    <t>החברה לפיתוח התיירות בהרצליה</t>
  </si>
  <si>
    <t xml:space="preserve">סך התקציב הנדרש בשנת 2017 ע"י היחידה  מסתכם ב - </t>
  </si>
  <si>
    <t>היחידה לאיכות הסביבה</t>
  </si>
  <si>
    <t xml:space="preserve">שיקום ושדרוג גינות ציבוריות, שדרוג תשתיות משטחי גומי בגינות ציבוריות , </t>
  </si>
  <si>
    <t>מתקני משחק וריהוט גן, תכנון פיתוח חורשות חדשות, שדרוג המרחב הציבורי.</t>
  </si>
  <si>
    <t>ותב"ע כיכר דה שליט.</t>
  </si>
  <si>
    <t>וסכומי התקציב, הנדרש, אם בכלל, אינם ידועים מראש ותלויים לעיתים בהליכים משפטיים.</t>
  </si>
  <si>
    <t>מרבית הפרויקטים של המחלקה הינם פיצויי הפקעה. פרויקטים אלו נמשכים זמן רב</t>
  </si>
  <si>
    <t>אגף מיחשוב ומערכות מידע</t>
  </si>
  <si>
    <t xml:space="preserve">פיתוח חוף דרומי כניסה לחוף וטיילת , פיתוח גן לאומי אפולוניה, תכנון תב"ע  טיילת החוף </t>
  </si>
  <si>
    <t>תשתיות פס רחב מוס"ח, פריסת סיבים אופטיים ברחבי העיר, התקנת מערך מצלמות במבני</t>
  </si>
  <si>
    <t>ציבור ומוס"ח.</t>
  </si>
  <si>
    <t>מתוקצב כולו מקרן עבודות פיתוח.</t>
  </si>
  <si>
    <t>שיפוץ חזיתות בתים/עמידר</t>
  </si>
  <si>
    <t>הסכום ברובו כולל מימון ביניים של העיריה  בגין שיפוצי בתים במסגרת אגודת תרבות הדיור.</t>
  </si>
  <si>
    <t>לצורך גבית היטלי פיתוח , פרויקטים דחופים בלתי צפויים מראש/מימוני ביניים.</t>
  </si>
  <si>
    <t>תכנון תב"ע הסדרת ייעודי קרקע לפיתוח טיילת החוף</t>
  </si>
  <si>
    <t>בניית 3 גנ"י חדשים (ביד התשעה)</t>
  </si>
  <si>
    <t>בנית 3 גני ילדים (הרצליה ב')</t>
  </si>
  <si>
    <r>
      <t xml:space="preserve">כיתות מעון יום 5 וכיתות גן 2 שטח 404 גליל ים ב' </t>
    </r>
    <r>
      <rPr>
        <b/>
        <sz val="11"/>
        <rFont val="David"/>
        <family val="2"/>
        <charset val="177"/>
      </rPr>
      <t>(*) שינוי שם</t>
    </r>
  </si>
  <si>
    <t>ספריה+מ.קהילתי שטח 406 גליל ים ב'</t>
  </si>
  <si>
    <t>גן 3 כיתות שטח 401 גליל ים ב'</t>
  </si>
  <si>
    <t>בי"ס יסודי 18 כיתות שטח 408 גליל ים ב'</t>
  </si>
  <si>
    <t>גן 3 כיתות  שטח 402 גליל ים ב'</t>
  </si>
  <si>
    <t>בי"ס יסודי 18 כיתות שטח 304 גלילי ים א'</t>
  </si>
  <si>
    <r>
      <t xml:space="preserve">תשתיות פס רחב מוס"ח וציוד (*) </t>
    </r>
    <r>
      <rPr>
        <b/>
        <sz val="11"/>
        <rFont val="David"/>
        <family val="2"/>
        <charset val="177"/>
      </rPr>
      <t>שינוי שם</t>
    </r>
  </si>
  <si>
    <t>81 - 82</t>
  </si>
  <si>
    <t>81-84</t>
  </si>
  <si>
    <t>81-82</t>
  </si>
  <si>
    <t>72-76</t>
  </si>
  <si>
    <t xml:space="preserve"> תרבות הדיור 87 </t>
  </si>
  <si>
    <t>פרק</t>
  </si>
  <si>
    <t>תכנון ובנין עיר</t>
  </si>
  <si>
    <t>חינוך ספורט ורווחה</t>
  </si>
  <si>
    <t>שיקום שכונות ומרחב ציבורי</t>
  </si>
  <si>
    <t>תשלומים בלתי רגילים</t>
  </si>
  <si>
    <t>1 בנובמבר 2016</t>
  </si>
  <si>
    <t>ל' בתשרי תשע"ז</t>
  </si>
  <si>
    <t xml:space="preserve">באלפי ₪ </t>
  </si>
  <si>
    <t>מענקים ממקורות שלטוניים ובעיקר ממשרדי ממשלה.</t>
  </si>
  <si>
    <t>מענקים ממוסדות שאינם שלטוניים כגון : מפעל הפייס ,המועצה להסדר הימורים, השתתפויות ועוד.</t>
  </si>
  <si>
    <t>תרומות, מימוש נכסים.</t>
  </si>
  <si>
    <t>הלוואות לזמן ארוך.</t>
  </si>
  <si>
    <t xml:space="preserve">בהתאם לקריטריונים שהוצבו , חופש פעולה בתחומים מסוימים , בין היתר בתחום התקציב. </t>
  </si>
  <si>
    <r>
      <t xml:space="preserve">הצעת התקציב הבלתי רגיל לשנת 2016 הסתכמה בסכום של  </t>
    </r>
    <r>
      <rPr>
        <b/>
        <sz val="12"/>
        <color theme="1"/>
        <rFont val="David"/>
        <family val="2"/>
        <charset val="177"/>
      </rPr>
      <t>391,178  אלפי ₪ .</t>
    </r>
  </si>
  <si>
    <t>עבודות פיתוח תשתיות, פארק, מוסדות חינוך ומבני ציבור במתחם גליל ים.</t>
  </si>
  <si>
    <t>פיתוח ז'בוטינסקי-אלתרמן-הבריגדה.</t>
  </si>
  <si>
    <t xml:space="preserve">פיתוח מתחם "מרינה לי". </t>
  </si>
  <si>
    <t>פיתוח מתחם הר' 1903 .</t>
  </si>
  <si>
    <t>מרכז תחבורה חדש (ציר בן ציון מיכאלי).</t>
  </si>
  <si>
    <t xml:space="preserve">פיתוח מתחם אלוני ים הר' 2030. </t>
  </si>
  <si>
    <t>פיתוח מתחם המסילה דב הוז.</t>
  </si>
  <si>
    <t>פיתוח כבישים ותשתיות אזור תעשיה מערבי.</t>
  </si>
  <si>
    <t>מערכת כבישים תשתיות בא.ת.מערבי</t>
  </si>
  <si>
    <t>חלוקת ההשקעה בתקציב  באלפי ₪ על פי אגפים/יחידות מפורטת להלן -</t>
  </si>
  <si>
    <t>מקורות מימון אחרים - פרוט</t>
  </si>
  <si>
    <r>
      <t xml:space="preserve">תב"ר 626 : תוכנית אב לשבילי אופניים - </t>
    </r>
    <r>
      <rPr>
        <b/>
        <sz val="12"/>
        <color theme="1"/>
        <rFont val="David"/>
        <family val="2"/>
        <charset val="177"/>
      </rPr>
      <t>תכנון ועדכון תוכנית אב לשבילי אופניים.</t>
    </r>
  </si>
  <si>
    <r>
      <t xml:space="preserve">תב"ר 1457 : ליווי B.R.T  - </t>
    </r>
    <r>
      <rPr>
        <b/>
        <sz val="12"/>
        <color theme="1"/>
        <rFont val="David"/>
        <family val="2"/>
        <charset val="177"/>
      </rPr>
      <t>ליווי "מהיר" לעיר.</t>
    </r>
  </si>
  <si>
    <t>העברה מתקציב רגיל בגין פשרה "מקורות"</t>
  </si>
  <si>
    <r>
      <t xml:space="preserve">תב"ר 1446 : מתחם נוריות מזרח - </t>
    </r>
    <r>
      <rPr>
        <b/>
        <sz val="12"/>
        <color theme="1"/>
        <rFont val="David"/>
        <family val="2"/>
        <charset val="177"/>
      </rPr>
      <t>מתחם נוריות</t>
    </r>
    <r>
      <rPr>
        <sz val="12"/>
        <color theme="1"/>
        <rFont val="David"/>
        <family val="2"/>
        <charset val="177"/>
      </rPr>
      <t>.</t>
    </r>
  </si>
  <si>
    <r>
      <t xml:space="preserve">תב"ר 1825 : תכנון בי"ס חדש מתחם אלתרמן  - </t>
    </r>
    <r>
      <rPr>
        <b/>
        <sz val="12"/>
        <color theme="1"/>
        <rFont val="David"/>
        <family val="2"/>
        <charset val="177"/>
      </rPr>
      <t>בי"ס חדש מתחם אלתרמן.</t>
    </r>
  </si>
  <si>
    <r>
      <t>תב"ר 1854 : בניה חדשה בי"ס אופק ונתיב  -</t>
    </r>
    <r>
      <rPr>
        <b/>
        <sz val="12"/>
        <color theme="1"/>
        <rFont val="David"/>
        <family val="2"/>
        <charset val="177"/>
      </rPr>
      <t xml:space="preserve"> בניה חדשה בי"ס "אופק".</t>
    </r>
  </si>
  <si>
    <r>
      <t xml:space="preserve">תב"ר 1936 : קדם תכנון פיתוח מתחם אפולוניה  - </t>
    </r>
    <r>
      <rPr>
        <b/>
        <sz val="12"/>
        <color theme="1"/>
        <rFont val="David"/>
        <family val="2"/>
        <charset val="177"/>
      </rPr>
      <t>תכנון מתחם אפולוניה.</t>
    </r>
  </si>
  <si>
    <r>
      <t xml:space="preserve">תב"ר 1911 : כיתות מעון יום (5) שטח 404 גליל ים ב'  - </t>
    </r>
    <r>
      <rPr>
        <b/>
        <sz val="12"/>
        <color theme="1"/>
        <rFont val="David"/>
        <family val="2"/>
        <charset val="177"/>
      </rPr>
      <t>כיתות מעון יום (5) וכיתות גן (2) שטח 404 גליל ים ב'.</t>
    </r>
  </si>
  <si>
    <r>
      <t xml:space="preserve">תב"ר 1912 : חט"ב ותיכון שטח 406 גליל ים ב'  - </t>
    </r>
    <r>
      <rPr>
        <b/>
        <sz val="12"/>
        <color theme="1"/>
        <rFont val="David"/>
        <family val="2"/>
        <charset val="177"/>
      </rPr>
      <t>קרית חינוך שטח 406 גליל ים ב'.</t>
    </r>
  </si>
  <si>
    <r>
      <t xml:space="preserve">תב"ר 1849 : החלפת גופי תאורה במגרשי ספורט- </t>
    </r>
    <r>
      <rPr>
        <b/>
        <sz val="12"/>
        <color theme="1"/>
        <rFont val="David"/>
        <family val="2"/>
        <charset val="177"/>
      </rPr>
      <t>התקנת גופי תאורה בטכנולוגיה מתקדמת.</t>
    </r>
  </si>
  <si>
    <t>שיפוץ מבני תנו"ס , עבודות התאמה לתקן מגרשי ספורט ופרויקטי שיגור לווין.</t>
  </si>
  <si>
    <t>יער עירוני , גינות קהילתיות, פרויקט "הרצליה נקיה מאסבסט".</t>
  </si>
  <si>
    <r>
      <t xml:space="preserve">תב"ר 1647 : תשתיות פס רחב מוס"ח- </t>
    </r>
    <r>
      <rPr>
        <b/>
        <sz val="12"/>
        <color theme="1"/>
        <rFont val="David"/>
        <family val="2"/>
        <charset val="177"/>
      </rPr>
      <t>תשתיות פס רחב מוס"ח וציוד.</t>
    </r>
  </si>
  <si>
    <r>
      <t>תב"ר 1636 : התייעלות בתאורת חוץ עפ"י סקר-</t>
    </r>
    <r>
      <rPr>
        <b/>
        <sz val="12"/>
        <color theme="1"/>
        <rFont val="David"/>
        <family val="2"/>
        <charset val="177"/>
      </rPr>
      <t xml:space="preserve"> התייעלות בתאורת חוץ עפ"י סקר כולל מוס. עירוניים.</t>
    </r>
  </si>
  <si>
    <t>תוכן</t>
  </si>
  <si>
    <t>עמודים</t>
  </si>
  <si>
    <t>4-15</t>
  </si>
  <si>
    <t>ריכוזים ודברי הסבר</t>
  </si>
  <si>
    <t>16-21</t>
  </si>
  <si>
    <t>22-28</t>
  </si>
  <si>
    <t>29-32</t>
  </si>
  <si>
    <t>33-34</t>
  </si>
  <si>
    <t>35-37</t>
  </si>
  <si>
    <t>אגף שאיפ"ה , חופים ואיכות הסביבה</t>
  </si>
  <si>
    <t>38-41</t>
  </si>
  <si>
    <t>42-43</t>
  </si>
  <si>
    <t>44-45</t>
  </si>
  <si>
    <t>46-47</t>
  </si>
  <si>
    <t>48-49</t>
  </si>
  <si>
    <t>50-51</t>
  </si>
  <si>
    <t>דו"ח מפורט של ביצוע מובא בנספח א'</t>
  </si>
  <si>
    <t>מבנה תרבות במערב העיר.</t>
  </si>
  <si>
    <t xml:space="preserve">פרוט הפרויקטים מובא בנספח ב' </t>
  </si>
  <si>
    <t>התקציב מיועד לשדרוג מקלטים ציבוריים.</t>
  </si>
  <si>
    <t>פרויקטים שהיקפם עולה על 14,000 אלפי ₪ בביצוע החברה לפיתוח הרצליה.</t>
  </si>
  <si>
    <t>תמ"א 38 ,התחדשות עירונית</t>
  </si>
  <si>
    <t xml:space="preserve">פיתוח מתנ"סים. </t>
  </si>
  <si>
    <t xml:space="preserve">חלוקת העלויות בתקציב  באלפי ₪ על פי פרקים עיקריים מפורטת להלן –  </t>
  </si>
  <si>
    <t>התחייבות כספית חתום על ידי מורשי חתימה של הגורם המממן.</t>
  </si>
  <si>
    <t xml:space="preserve"> תקצוב הפרויקטים נשוא מימון משרדי ממשלה ואחרים כמפורט לעיל מותנה בקבלת מסמך </t>
  </si>
  <si>
    <t xml:space="preserve">החברה לפיתוח תיירות </t>
  </si>
  <si>
    <t>הר' 2159 התחדשות עירונית יד התשעה</t>
  </si>
  <si>
    <r>
      <t xml:space="preserve">תב"ר 1614 : שצ"פ רבי עקיבא דרומה  - </t>
    </r>
    <r>
      <rPr>
        <b/>
        <sz val="12"/>
        <color theme="1"/>
        <rFont val="David"/>
        <family val="2"/>
        <charset val="177"/>
      </rPr>
      <t>שצ"פ צמרות דרום (השביל הירוק).</t>
    </r>
    <r>
      <rPr>
        <sz val="12"/>
        <color theme="1"/>
        <rFont val="David"/>
        <family val="2"/>
        <charset val="177"/>
      </rPr>
      <t xml:space="preserve"> </t>
    </r>
  </si>
  <si>
    <t>מערכת כבישים ותשתיות א.ת. מערבי</t>
  </si>
  <si>
    <t>מס"ד</t>
  </si>
  <si>
    <t>החלפת צ'ילרים א.ס. נ. ישראל,סמדר ,נוף ים</t>
  </si>
  <si>
    <t>מתוקצב כולו מקרן עודפי תקציב רגיל ומיועד לפיתוח ושיקום חופי הרחצה.</t>
  </si>
  <si>
    <t>נגישות לאנשים עם מוגבלויות, שדרוג כבישים ומדרכות, מדידות נכסים ובדיקות נכסים</t>
  </si>
  <si>
    <t xml:space="preserve">אולם ספורט חטיבת זאב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</si>
</sst>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0"/>
    <numFmt numFmtId="165" formatCode="0.0%"/>
    <numFmt numFmtId="166" formatCode="_ * #,##0_ ;_ * \-#,##0_ ;_ * &quot;-&quot;??_ ;_ @_ "/>
  </numFmts>
  <fonts count="40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8"/>
      <color rgb="FF000000"/>
      <name val="Tahoma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Arial"/>
      <family val="2"/>
      <charset val="177"/>
      <scheme val="minor"/>
    </font>
    <font>
      <strike/>
      <sz val="11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David"/>
      <family val="2"/>
      <charset val="177"/>
    </font>
    <font>
      <b/>
      <u/>
      <sz val="36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u/>
      <sz val="16"/>
      <name val="David"/>
      <family val="2"/>
      <charset val="177"/>
    </font>
    <font>
      <b/>
      <sz val="18"/>
      <color rgb="FFFF0000"/>
      <name val="David"/>
      <family val="2"/>
      <charset val="177"/>
    </font>
    <font>
      <sz val="11"/>
      <color theme="1"/>
      <name val="Wingdings"/>
      <charset val="2"/>
    </font>
    <font>
      <b/>
      <sz val="12"/>
      <color theme="1"/>
      <name val="Arial"/>
      <family val="2"/>
      <charset val="177"/>
      <scheme val="minor"/>
    </font>
    <font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11" fillId="0" borderId="0">
      <alignment vertical="top"/>
    </xf>
    <xf numFmtId="0" fontId="4" fillId="2" borderId="1" applyNumberFormat="0" applyFont="0" applyAlignment="0" applyProtection="0"/>
    <xf numFmtId="0" fontId="12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7" fillId="0" borderId="0" xfId="0" applyFont="1" applyAlignment="1"/>
    <xf numFmtId="0" fontId="7" fillId="0" borderId="0" xfId="0" applyFont="1"/>
    <xf numFmtId="0" fontId="13" fillId="0" borderId="0" xfId="4" applyFont="1" applyBorder="1"/>
    <xf numFmtId="0" fontId="13" fillId="0" borderId="0" xfId="4" applyFont="1" applyBorder="1" applyAlignment="1">
      <alignment horizontal="right" vertical="center" wrapText="1"/>
    </xf>
    <xf numFmtId="0" fontId="13" fillId="0" borderId="0" xfId="4" applyFont="1" applyBorder="1" applyAlignment="1">
      <alignment horizontal="right" vertical="center"/>
    </xf>
    <xf numFmtId="0" fontId="13" fillId="0" borderId="0" xfId="4" applyFont="1" applyBorder="1" applyAlignment="1">
      <alignment vertical="center"/>
    </xf>
    <xf numFmtId="0" fontId="10" fillId="0" borderId="2" xfId="4" applyFont="1" applyBorder="1" applyAlignment="1">
      <alignment horizontal="right" vertical="center" wrapText="1"/>
    </xf>
    <xf numFmtId="0" fontId="10" fillId="0" borderId="0" xfId="4" applyFont="1" applyBorder="1"/>
    <xf numFmtId="0" fontId="10" fillId="0" borderId="2" xfId="4" applyFont="1" applyBorder="1" applyAlignment="1">
      <alignment vertical="center" wrapText="1"/>
    </xf>
    <xf numFmtId="0" fontId="10" fillId="0" borderId="0" xfId="4" applyFont="1" applyBorder="1" applyAlignment="1">
      <alignment vertical="center" wrapText="1"/>
    </xf>
    <xf numFmtId="3" fontId="6" fillId="0" borderId="2" xfId="4" applyNumberFormat="1" applyFont="1" applyBorder="1" applyAlignment="1">
      <alignment horizontal="right" vertical="top"/>
    </xf>
    <xf numFmtId="3" fontId="9" fillId="0" borderId="2" xfId="4" applyNumberFormat="1" applyFont="1" applyBorder="1"/>
    <xf numFmtId="0" fontId="9" fillId="0" borderId="0" xfId="4" applyFont="1" applyBorder="1" applyAlignment="1">
      <alignment vertical="center"/>
    </xf>
    <xf numFmtId="0" fontId="9" fillId="0" borderId="2" xfId="4" applyFont="1" applyBorder="1"/>
    <xf numFmtId="3" fontId="9" fillId="0" borderId="2" xfId="4" applyNumberFormat="1" applyFont="1" applyBorder="1" applyAlignment="1">
      <alignment vertical="center" wrapText="1"/>
    </xf>
    <xf numFmtId="0" fontId="9" fillId="0" borderId="2" xfId="4" applyFont="1" applyBorder="1" applyAlignment="1">
      <alignment vertical="center"/>
    </xf>
    <xf numFmtId="3" fontId="6" fillId="0" borderId="2" xfId="4" applyNumberFormat="1" applyFont="1" applyFill="1" applyBorder="1"/>
    <xf numFmtId="3" fontId="9" fillId="0" borderId="2" xfId="4" applyNumberFormat="1" applyFont="1" applyBorder="1" applyAlignment="1">
      <alignment vertical="center"/>
    </xf>
    <xf numFmtId="3" fontId="10" fillId="0" borderId="2" xfId="4" applyNumberFormat="1" applyFont="1" applyBorder="1"/>
    <xf numFmtId="0" fontId="10" fillId="0" borderId="0" xfId="4" applyFont="1" applyBorder="1" applyAlignment="1">
      <alignment vertical="center"/>
    </xf>
    <xf numFmtId="0" fontId="9" fillId="0" borderId="0" xfId="4" applyFont="1" applyBorder="1"/>
    <xf numFmtId="3" fontId="9" fillId="0" borderId="0" xfId="4" applyNumberFormat="1" applyFont="1" applyBorder="1"/>
    <xf numFmtId="3" fontId="9" fillId="0" borderId="0" xfId="4" applyNumberFormat="1" applyFont="1" applyBorder="1" applyAlignment="1">
      <alignment vertical="center" wrapText="1"/>
    </xf>
    <xf numFmtId="0" fontId="9" fillId="0" borderId="0" xfId="4" applyFont="1" applyBorder="1" applyAlignment="1">
      <alignment horizontal="right" vertical="center" wrapText="1"/>
    </xf>
    <xf numFmtId="0" fontId="9" fillId="0" borderId="0" xfId="4" applyFont="1" applyBorder="1" applyAlignment="1">
      <alignment horizontal="right" vertical="center"/>
    </xf>
    <xf numFmtId="0" fontId="9" fillId="0" borderId="7" xfId="4" applyFont="1" applyBorder="1" applyAlignment="1">
      <alignment horizontal="right" vertical="center"/>
    </xf>
    <xf numFmtId="0" fontId="9" fillId="0" borderId="8" xfId="4" applyFont="1" applyBorder="1" applyAlignment="1">
      <alignment horizontal="right" vertical="center"/>
    </xf>
    <xf numFmtId="0" fontId="10" fillId="0" borderId="2" xfId="4" applyFont="1" applyBorder="1" applyAlignment="1">
      <alignment horizontal="right" vertical="center"/>
    </xf>
    <xf numFmtId="0" fontId="9" fillId="0" borderId="5" xfId="4" applyFont="1" applyBorder="1" applyAlignment="1">
      <alignment vertical="center"/>
    </xf>
    <xf numFmtId="0" fontId="9" fillId="0" borderId="6" xfId="4" applyFont="1" applyBorder="1" applyAlignment="1">
      <alignment vertical="center"/>
    </xf>
    <xf numFmtId="3" fontId="10" fillId="0" borderId="2" xfId="4" applyNumberFormat="1" applyFont="1" applyBorder="1" applyAlignment="1">
      <alignment horizontal="right" vertical="center"/>
    </xf>
    <xf numFmtId="3" fontId="10" fillId="0" borderId="0" xfId="4" applyNumberFormat="1" applyFont="1" applyBorder="1" applyAlignment="1">
      <alignment horizontal="right" vertical="center"/>
    </xf>
    <xf numFmtId="0" fontId="9" fillId="0" borderId="9" xfId="4" applyFont="1" applyBorder="1" applyAlignment="1">
      <alignment horizontal="right" vertical="center"/>
    </xf>
    <xf numFmtId="0" fontId="10" fillId="0" borderId="6" xfId="4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165" fontId="7" fillId="0" borderId="0" xfId="9" applyNumberFormat="1" applyFont="1" applyAlignment="1">
      <alignment wrapText="1"/>
    </xf>
    <xf numFmtId="0" fontId="7" fillId="0" borderId="2" xfId="0" applyFont="1" applyBorder="1" applyAlignment="1">
      <alignment vertical="center"/>
    </xf>
    <xf numFmtId="3" fontId="7" fillId="0" borderId="3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/>
    <xf numFmtId="0" fontId="7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 applyAlignment="1"/>
    <xf numFmtId="3" fontId="7" fillId="0" borderId="0" xfId="0" applyNumberFormat="1" applyFont="1" applyBorder="1" applyAlignment="1">
      <alignment wrapText="1"/>
    </xf>
    <xf numFmtId="165" fontId="7" fillId="0" borderId="0" xfId="0" applyNumberFormat="1" applyFont="1" applyBorder="1"/>
    <xf numFmtId="0" fontId="10" fillId="0" borderId="0" xfId="0" applyFont="1" applyBorder="1" applyAlignment="1">
      <alignment vertical="center" wrapText="1"/>
    </xf>
    <xf numFmtId="3" fontId="7" fillId="0" borderId="2" xfId="0" applyNumberFormat="1" applyFont="1" applyBorder="1"/>
    <xf numFmtId="0" fontId="7" fillId="0" borderId="3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center" wrapText="1"/>
    </xf>
    <xf numFmtId="3" fontId="6" fillId="0" borderId="2" xfId="0" applyNumberFormat="1" applyFont="1" applyBorder="1"/>
    <xf numFmtId="3" fontId="7" fillId="0" borderId="4" xfId="0" applyNumberFormat="1" applyFont="1" applyBorder="1"/>
    <xf numFmtId="0" fontId="7" fillId="0" borderId="2" xfId="0" applyFont="1" applyFill="1" applyBorder="1" applyAlignment="1"/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6" fillId="0" borderId="2" xfId="0" applyFont="1" applyBorder="1" applyAlignment="1"/>
    <xf numFmtId="0" fontId="5" fillId="0" borderId="0" xfId="4" applyFont="1"/>
    <xf numFmtId="0" fontId="7" fillId="0" borderId="0" xfId="4" applyFont="1"/>
    <xf numFmtId="0" fontId="7" fillId="0" borderId="0" xfId="4" applyFont="1" applyAlignment="1"/>
    <xf numFmtId="3" fontId="6" fillId="0" borderId="2" xfId="4" applyNumberFormat="1" applyFont="1" applyBorder="1" applyAlignment="1">
      <alignment horizontal="right" vertical="center" wrapText="1"/>
    </xf>
    <xf numFmtId="3" fontId="6" fillId="0" borderId="0" xfId="4" applyNumberFormat="1" applyFont="1" applyBorder="1" applyAlignment="1">
      <alignment horizontal="right" vertical="center" wrapText="1"/>
    </xf>
    <xf numFmtId="0" fontId="7" fillId="0" borderId="2" xfId="4" applyFont="1" applyBorder="1" applyAlignment="1">
      <alignment vertical="center" wrapText="1"/>
    </xf>
    <xf numFmtId="0" fontId="7" fillId="0" borderId="3" xfId="4" applyFont="1" applyBorder="1" applyAlignment="1">
      <alignment vertical="center" wrapText="1"/>
    </xf>
    <xf numFmtId="3" fontId="7" fillId="0" borderId="3" xfId="4" applyNumberFormat="1" applyFont="1" applyBorder="1" applyAlignment="1">
      <alignment vertical="center" wrapText="1"/>
    </xf>
    <xf numFmtId="0" fontId="7" fillId="0" borderId="0" xfId="4" applyFont="1" applyAlignment="1">
      <alignment vertical="center" wrapText="1"/>
    </xf>
    <xf numFmtId="3" fontId="7" fillId="0" borderId="2" xfId="4" applyNumberFormat="1" applyFont="1" applyBorder="1" applyAlignment="1">
      <alignment vertical="center" wrapText="1"/>
    </xf>
    <xf numFmtId="0" fontId="7" fillId="0" borderId="2" xfId="4" applyFont="1" applyBorder="1" applyAlignment="1">
      <alignment vertical="center"/>
    </xf>
    <xf numFmtId="0" fontId="6" fillId="0" borderId="2" xfId="4" applyFont="1" applyBorder="1" applyAlignment="1">
      <alignment vertical="center" wrapText="1"/>
    </xf>
    <xf numFmtId="3" fontId="6" fillId="0" borderId="2" xfId="4" applyNumberFormat="1" applyFont="1" applyBorder="1" applyAlignment="1">
      <alignment vertical="center" wrapText="1"/>
    </xf>
    <xf numFmtId="0" fontId="6" fillId="0" borderId="0" xfId="4" applyFont="1" applyAlignment="1">
      <alignment vertical="center" wrapText="1"/>
    </xf>
    <xf numFmtId="0" fontId="7" fillId="0" borderId="2" xfId="4" applyFont="1" applyFill="1" applyBorder="1" applyAlignment="1">
      <alignment vertical="center" wrapText="1"/>
    </xf>
    <xf numFmtId="3" fontId="7" fillId="0" borderId="2" xfId="4" applyNumberFormat="1" applyFont="1" applyFill="1" applyBorder="1" applyAlignment="1">
      <alignment vertical="center" wrapText="1"/>
    </xf>
    <xf numFmtId="0" fontId="7" fillId="0" borderId="0" xfId="4" applyFont="1" applyFill="1" applyAlignment="1">
      <alignment vertical="center" wrapText="1"/>
    </xf>
    <xf numFmtId="164" fontId="8" fillId="0" borderId="0" xfId="4" applyNumberFormat="1" applyFont="1" applyBorder="1" applyAlignment="1">
      <alignment vertical="top"/>
    </xf>
    <xf numFmtId="0" fontId="6" fillId="0" borderId="0" xfId="4" applyFont="1" applyFill="1" applyAlignment="1">
      <alignment vertical="center" wrapText="1"/>
    </xf>
    <xf numFmtId="0" fontId="7" fillId="0" borderId="0" xfId="4" applyFont="1" applyBorder="1" applyAlignment="1">
      <alignment vertical="center" wrapText="1"/>
    </xf>
    <xf numFmtId="0" fontId="9" fillId="0" borderId="0" xfId="4" applyFont="1" applyFill="1" applyAlignment="1">
      <alignment vertical="center" wrapText="1"/>
    </xf>
    <xf numFmtId="0" fontId="9" fillId="3" borderId="0" xfId="4" applyFont="1" applyFill="1" applyAlignment="1">
      <alignment vertical="center" wrapText="1"/>
    </xf>
    <xf numFmtId="3" fontId="10" fillId="0" borderId="2" xfId="4" applyNumberFormat="1" applyFont="1" applyBorder="1" applyAlignment="1">
      <alignment vertical="center" wrapText="1"/>
    </xf>
    <xf numFmtId="3" fontId="10" fillId="0" borderId="2" xfId="4" applyNumberFormat="1" applyFont="1" applyBorder="1" applyAlignment="1">
      <alignment horizontal="right" vertical="center" wrapText="1"/>
    </xf>
    <xf numFmtId="3" fontId="10" fillId="0" borderId="0" xfId="4" applyNumberFormat="1" applyFont="1" applyBorder="1" applyAlignment="1">
      <alignment vertical="center" wrapText="1"/>
    </xf>
    <xf numFmtId="3" fontId="7" fillId="0" borderId="2" xfId="4" applyNumberFormat="1" applyFont="1" applyBorder="1"/>
    <xf numFmtId="3" fontId="7" fillId="0" borderId="0" xfId="4" applyNumberFormat="1" applyFont="1"/>
    <xf numFmtId="0" fontId="6" fillId="0" borderId="2" xfId="4" applyFont="1" applyBorder="1" applyAlignment="1">
      <alignment horizontal="right" vertical="center" wrapText="1"/>
    </xf>
    <xf numFmtId="0" fontId="6" fillId="0" borderId="0" xfId="4" applyFont="1" applyBorder="1" applyAlignment="1">
      <alignment horizontal="right" vertical="center" wrapText="1"/>
    </xf>
    <xf numFmtId="0" fontId="6" fillId="0" borderId="2" xfId="4" applyFont="1" applyFill="1" applyBorder="1" applyAlignment="1">
      <alignment vertical="center" wrapText="1"/>
    </xf>
    <xf numFmtId="0" fontId="9" fillId="0" borderId="3" xfId="4" applyFont="1" applyBorder="1"/>
    <xf numFmtId="0" fontId="7" fillId="4" borderId="2" xfId="4" applyFont="1" applyFill="1" applyBorder="1" applyAlignment="1">
      <alignment vertical="center" wrapText="1"/>
    </xf>
    <xf numFmtId="3" fontId="7" fillId="4" borderId="2" xfId="4" applyNumberFormat="1" applyFont="1" applyFill="1" applyBorder="1" applyAlignment="1">
      <alignment vertical="center" wrapText="1"/>
    </xf>
    <xf numFmtId="0" fontId="10" fillId="0" borderId="2" xfId="4" applyFont="1" applyBorder="1" applyAlignment="1">
      <alignment vertical="center"/>
    </xf>
    <xf numFmtId="0" fontId="7" fillId="0" borderId="0" xfId="4" applyFont="1" applyBorder="1"/>
    <xf numFmtId="3" fontId="7" fillId="0" borderId="0" xfId="4" applyNumberFormat="1" applyFont="1" applyBorder="1"/>
    <xf numFmtId="3" fontId="7" fillId="0" borderId="0" xfId="4" applyNumberFormat="1" applyFont="1" applyBorder="1" applyAlignment="1">
      <alignment wrapText="1"/>
    </xf>
    <xf numFmtId="165" fontId="7" fillId="0" borderId="0" xfId="10" applyNumberFormat="1" applyFont="1" applyBorder="1"/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 wrapText="1"/>
    </xf>
    <xf numFmtId="3" fontId="5" fillId="0" borderId="0" xfId="4" applyNumberFormat="1" applyFont="1"/>
    <xf numFmtId="0" fontId="10" fillId="0" borderId="0" xfId="4" applyFont="1" applyAlignment="1">
      <alignment vertical="center" wrapText="1"/>
    </xf>
    <xf numFmtId="166" fontId="7" fillId="0" borderId="2" xfId="11" applyNumberFormat="1" applyFont="1" applyBorder="1" applyAlignment="1">
      <alignment vertical="center" wrapText="1"/>
    </xf>
    <xf numFmtId="0" fontId="7" fillId="0" borderId="2" xfId="4" applyFont="1" applyBorder="1"/>
    <xf numFmtId="0" fontId="7" fillId="0" borderId="0" xfId="4" applyFont="1" applyAlignment="1">
      <alignment wrapText="1"/>
    </xf>
    <xf numFmtId="3" fontId="7" fillId="0" borderId="0" xfId="4" applyNumberFormat="1" applyFont="1" applyAlignment="1">
      <alignment wrapText="1"/>
    </xf>
    <xf numFmtId="3" fontId="6" fillId="0" borderId="2" xfId="4" applyNumberFormat="1" applyFont="1" applyBorder="1" applyAlignment="1">
      <alignment wrapText="1"/>
    </xf>
    <xf numFmtId="0" fontId="6" fillId="0" borderId="0" xfId="4" applyFont="1" applyAlignment="1">
      <alignment wrapText="1"/>
    </xf>
    <xf numFmtId="3" fontId="6" fillId="0" borderId="0" xfId="4" applyNumberFormat="1" applyFont="1" applyAlignment="1">
      <alignment wrapText="1"/>
    </xf>
    <xf numFmtId="165" fontId="7" fillId="0" borderId="0" xfId="10" applyNumberFormat="1" applyFont="1"/>
    <xf numFmtId="3" fontId="5" fillId="0" borderId="0" xfId="12" applyNumberFormat="1" applyFont="1"/>
    <xf numFmtId="0" fontId="5" fillId="0" borderId="0" xfId="12" applyFont="1"/>
    <xf numFmtId="0" fontId="2" fillId="0" borderId="0" xfId="12"/>
    <xf numFmtId="0" fontId="7" fillId="0" borderId="0" xfId="12" applyFont="1"/>
    <xf numFmtId="0" fontId="7" fillId="0" borderId="0" xfId="12" applyFont="1" applyAlignment="1"/>
    <xf numFmtId="3" fontId="6" fillId="0" borderId="2" xfId="12" applyNumberFormat="1" applyFont="1" applyBorder="1" applyAlignment="1">
      <alignment horizontal="right" vertical="center" wrapText="1"/>
    </xf>
    <xf numFmtId="3" fontId="6" fillId="0" borderId="0" xfId="12" applyNumberFormat="1" applyFont="1" applyBorder="1" applyAlignment="1">
      <alignment horizontal="right" vertical="center" wrapText="1"/>
    </xf>
    <xf numFmtId="0" fontId="7" fillId="0" borderId="3" xfId="12" applyFont="1" applyBorder="1" applyAlignment="1">
      <alignment vertical="center" wrapText="1"/>
    </xf>
    <xf numFmtId="0" fontId="7" fillId="0" borderId="0" xfId="12" applyFont="1" applyAlignment="1">
      <alignment vertical="center" wrapText="1"/>
    </xf>
    <xf numFmtId="0" fontId="7" fillId="0" borderId="2" xfId="12" applyFont="1" applyBorder="1" applyAlignment="1">
      <alignment vertical="center" wrapText="1"/>
    </xf>
    <xf numFmtId="3" fontId="7" fillId="0" borderId="2" xfId="12" applyNumberFormat="1" applyFont="1" applyBorder="1" applyAlignment="1">
      <alignment vertical="center" wrapText="1"/>
    </xf>
    <xf numFmtId="3" fontId="7" fillId="0" borderId="2" xfId="12" applyNumberFormat="1" applyFont="1" applyFill="1" applyBorder="1" applyAlignment="1">
      <alignment vertical="center" wrapText="1"/>
    </xf>
    <xf numFmtId="0" fontId="10" fillId="0" borderId="2" xfId="12" applyFont="1" applyBorder="1" applyAlignment="1">
      <alignment vertical="center" wrapText="1"/>
    </xf>
    <xf numFmtId="3" fontId="10" fillId="0" borderId="2" xfId="12" applyNumberFormat="1" applyFont="1" applyBorder="1" applyAlignment="1">
      <alignment vertical="center" wrapText="1"/>
    </xf>
    <xf numFmtId="0" fontId="10" fillId="0" borderId="0" xfId="12" applyFont="1" applyAlignment="1">
      <alignment vertical="center" wrapText="1"/>
    </xf>
    <xf numFmtId="3" fontId="7" fillId="0" borderId="0" xfId="12" applyNumberFormat="1" applyFont="1"/>
    <xf numFmtId="0" fontId="9" fillId="0" borderId="2" xfId="0" applyFont="1" applyFill="1" applyBorder="1"/>
    <xf numFmtId="0" fontId="9" fillId="0" borderId="2" xfId="0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 wrapText="1"/>
    </xf>
    <xf numFmtId="3" fontId="7" fillId="5" borderId="2" xfId="4" applyNumberFormat="1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vertical="center" wrapText="1"/>
    </xf>
    <xf numFmtId="3" fontId="7" fillId="6" borderId="2" xfId="4" applyNumberFormat="1" applyFont="1" applyFill="1" applyBorder="1" applyAlignment="1">
      <alignment vertical="center" wrapText="1"/>
    </xf>
    <xf numFmtId="3" fontId="7" fillId="6" borderId="2" xfId="0" applyNumberFormat="1" applyFont="1" applyFill="1" applyBorder="1" applyAlignment="1">
      <alignment vertical="center" wrapText="1"/>
    </xf>
    <xf numFmtId="3" fontId="9" fillId="0" borderId="6" xfId="4" applyNumberFormat="1" applyFont="1" applyBorder="1" applyAlignment="1">
      <alignment vertical="center"/>
    </xf>
    <xf numFmtId="0" fontId="10" fillId="0" borderId="4" xfId="4" applyFont="1" applyBorder="1" applyAlignment="1">
      <alignment horizontal="right" vertical="center" wrapText="1"/>
    </xf>
    <xf numFmtId="0" fontId="6" fillId="0" borderId="0" xfId="0" applyFont="1" applyBorder="1" applyAlignment="1"/>
    <xf numFmtId="3" fontId="10" fillId="0" borderId="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3" fontId="6" fillId="0" borderId="2" xfId="4" applyNumberFormat="1" applyFont="1" applyFill="1" applyBorder="1" applyAlignment="1">
      <alignment vertical="center" wrapText="1"/>
    </xf>
    <xf numFmtId="0" fontId="10" fillId="0" borderId="2" xfId="0" applyFont="1" applyFill="1" applyBorder="1"/>
    <xf numFmtId="3" fontId="10" fillId="0" borderId="2" xfId="0" applyNumberFormat="1" applyFont="1" applyFill="1" applyBorder="1" applyAlignment="1">
      <alignment vertical="center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/>
    <xf numFmtId="3" fontId="7" fillId="0" borderId="3" xfId="4" applyNumberFormat="1" applyFont="1" applyBorder="1"/>
    <xf numFmtId="3" fontId="7" fillId="0" borderId="3" xfId="0" applyNumberFormat="1" applyFont="1" applyBorder="1"/>
    <xf numFmtId="0" fontId="7" fillId="0" borderId="2" xfId="0" applyFont="1" applyBorder="1"/>
    <xf numFmtId="0" fontId="7" fillId="0" borderId="4" xfId="0" applyFont="1" applyBorder="1" applyAlignment="1">
      <alignment vertical="center" wrapText="1"/>
    </xf>
    <xf numFmtId="3" fontId="6" fillId="0" borderId="2" xfId="4" applyNumberFormat="1" applyFont="1" applyFill="1" applyBorder="1" applyAlignment="1">
      <alignment horizontal="right" vertical="center" wrapText="1"/>
    </xf>
    <xf numFmtId="0" fontId="6" fillId="0" borderId="4" xfId="4" applyFont="1" applyBorder="1" applyAlignment="1">
      <alignment horizontal="right" vertical="center" wrapText="1"/>
    </xf>
    <xf numFmtId="3" fontId="9" fillId="0" borderId="4" xfId="4" applyNumberFormat="1" applyFont="1" applyBorder="1" applyAlignment="1">
      <alignment vertical="center" wrapText="1"/>
    </xf>
    <xf numFmtId="3" fontId="9" fillId="0" borderId="4" xfId="4" applyNumberFormat="1" applyFont="1" applyBorder="1"/>
    <xf numFmtId="3" fontId="9" fillId="0" borderId="4" xfId="4" applyNumberFormat="1" applyFont="1" applyBorder="1" applyAlignment="1">
      <alignment vertical="center"/>
    </xf>
    <xf numFmtId="0" fontId="6" fillId="0" borderId="6" xfId="4" applyFont="1" applyBorder="1" applyAlignment="1">
      <alignment horizontal="right" vertical="center" wrapText="1"/>
    </xf>
    <xf numFmtId="3" fontId="9" fillId="0" borderId="6" xfId="4" applyNumberFormat="1" applyFont="1" applyBorder="1"/>
    <xf numFmtId="0" fontId="6" fillId="0" borderId="6" xfId="0" applyFont="1" applyBorder="1" applyAlignment="1">
      <alignment horizontal="right" vertical="center" wrapText="1"/>
    </xf>
    <xf numFmtId="3" fontId="9" fillId="0" borderId="6" xfId="4" applyNumberFormat="1" applyFont="1" applyBorder="1" applyAlignment="1">
      <alignment vertical="center" wrapText="1"/>
    </xf>
    <xf numFmtId="3" fontId="7" fillId="0" borderId="14" xfId="4" applyNumberFormat="1" applyFont="1" applyBorder="1" applyAlignment="1">
      <alignment vertical="center" wrapText="1"/>
    </xf>
    <xf numFmtId="3" fontId="10" fillId="0" borderId="4" xfId="4" applyNumberFormat="1" applyFont="1" applyBorder="1" applyAlignment="1">
      <alignment vertical="center" wrapText="1"/>
    </xf>
    <xf numFmtId="3" fontId="7" fillId="0" borderId="4" xfId="4" applyNumberFormat="1" applyFont="1" applyBorder="1" applyAlignment="1">
      <alignment vertical="center" wrapText="1"/>
    </xf>
    <xf numFmtId="3" fontId="7" fillId="0" borderId="4" xfId="4" applyNumberFormat="1" applyFont="1" applyFill="1" applyBorder="1" applyAlignment="1">
      <alignment vertical="center" wrapText="1"/>
    </xf>
    <xf numFmtId="3" fontId="7" fillId="0" borderId="15" xfId="4" applyNumberFormat="1" applyFont="1" applyBorder="1" applyAlignment="1">
      <alignment vertical="center" wrapText="1"/>
    </xf>
    <xf numFmtId="3" fontId="10" fillId="0" borderId="6" xfId="4" applyNumberFormat="1" applyFont="1" applyBorder="1" applyAlignment="1">
      <alignment vertical="center" wrapText="1"/>
    </xf>
    <xf numFmtId="3" fontId="7" fillId="0" borderId="6" xfId="4" applyNumberFormat="1" applyFont="1" applyBorder="1" applyAlignment="1">
      <alignment vertical="center" wrapText="1"/>
    </xf>
    <xf numFmtId="3" fontId="7" fillId="0" borderId="6" xfId="4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 wrapText="1"/>
    </xf>
    <xf numFmtId="0" fontId="7" fillId="0" borderId="4" xfId="0" applyFont="1" applyBorder="1"/>
    <xf numFmtId="3" fontId="7" fillId="0" borderId="6" xfId="0" applyNumberFormat="1" applyFont="1" applyBorder="1" applyAlignment="1">
      <alignment vertical="center" wrapText="1"/>
    </xf>
    <xf numFmtId="3" fontId="7" fillId="4" borderId="6" xfId="0" applyNumberFormat="1" applyFont="1" applyFill="1" applyBorder="1" applyAlignment="1">
      <alignment vertical="center" wrapText="1"/>
    </xf>
    <xf numFmtId="0" fontId="7" fillId="0" borderId="6" xfId="0" applyFont="1" applyBorder="1"/>
    <xf numFmtId="0" fontId="10" fillId="0" borderId="0" xfId="4" applyFont="1" applyBorder="1" applyAlignment="1">
      <alignment horizontal="right" vertical="center"/>
    </xf>
    <xf numFmtId="3" fontId="7" fillId="7" borderId="2" xfId="0" applyNumberFormat="1" applyFont="1" applyFill="1" applyBorder="1" applyAlignment="1">
      <alignment vertical="center" wrapText="1"/>
    </xf>
    <xf numFmtId="3" fontId="7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3" fontId="7" fillId="8" borderId="2" xfId="0" applyNumberFormat="1" applyFont="1" applyFill="1" applyBorder="1" applyAlignment="1">
      <alignment vertical="center" wrapText="1"/>
    </xf>
    <xf numFmtId="3" fontId="7" fillId="8" borderId="0" xfId="0" applyNumberFormat="1" applyFont="1" applyFill="1"/>
    <xf numFmtId="3" fontId="7" fillId="8" borderId="2" xfId="4" applyNumberFormat="1" applyFont="1" applyFill="1" applyBorder="1" applyAlignment="1">
      <alignment vertical="center" wrapText="1"/>
    </xf>
    <xf numFmtId="3" fontId="7" fillId="8" borderId="0" xfId="4" applyNumberFormat="1" applyFont="1" applyFill="1"/>
    <xf numFmtId="3" fontId="7" fillId="0" borderId="0" xfId="4" applyNumberFormat="1" applyFont="1" applyAlignment="1">
      <alignment vertical="center" wrapText="1"/>
    </xf>
    <xf numFmtId="3" fontId="7" fillId="7" borderId="0" xfId="0" applyNumberFormat="1" applyFont="1" applyFill="1"/>
    <xf numFmtId="3" fontId="7" fillId="9" borderId="0" xfId="4" applyNumberFormat="1" applyFont="1" applyFill="1"/>
    <xf numFmtId="3" fontId="7" fillId="9" borderId="2" xfId="0" applyNumberFormat="1" applyFont="1" applyFill="1" applyBorder="1" applyAlignment="1">
      <alignment vertical="center" wrapText="1"/>
    </xf>
    <xf numFmtId="3" fontId="7" fillId="9" borderId="0" xfId="0" applyNumberFormat="1" applyFont="1" applyFill="1"/>
    <xf numFmtId="0" fontId="7" fillId="0" borderId="0" xfId="4" applyFont="1" applyAlignment="1">
      <alignment vertical="center"/>
    </xf>
    <xf numFmtId="3" fontId="9" fillId="0" borderId="0" xfId="4" applyNumberFormat="1" applyFont="1" applyBorder="1" applyAlignment="1">
      <alignment horizontal="right" vertical="center"/>
    </xf>
    <xf numFmtId="0" fontId="7" fillId="0" borderId="0" xfId="4" applyFont="1" applyFill="1" applyAlignment="1">
      <alignment horizontal="center" vertical="center"/>
    </xf>
    <xf numFmtId="3" fontId="7" fillId="0" borderId="3" xfId="4" applyNumberFormat="1" applyFont="1" applyFill="1" applyBorder="1" applyAlignment="1">
      <alignment vertical="center" wrapText="1"/>
    </xf>
    <xf numFmtId="3" fontId="10" fillId="0" borderId="2" xfId="4" applyNumberFormat="1" applyFont="1" applyFill="1" applyBorder="1" applyAlignment="1">
      <alignment vertical="center" wrapText="1"/>
    </xf>
    <xf numFmtId="0" fontId="7" fillId="0" borderId="0" xfId="4" applyFont="1" applyFill="1"/>
    <xf numFmtId="3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/>
    <xf numFmtId="3" fontId="6" fillId="0" borderId="2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0" fontId="6" fillId="0" borderId="2" xfId="4" applyFont="1" applyFill="1" applyBorder="1" applyAlignment="1">
      <alignment horizontal="right" vertical="center" wrapText="1"/>
    </xf>
    <xf numFmtId="0" fontId="7" fillId="0" borderId="0" xfId="4" applyFont="1" applyFill="1" applyBorder="1"/>
    <xf numFmtId="165" fontId="7" fillId="0" borderId="0" xfId="4" applyNumberFormat="1" applyFont="1" applyFill="1" applyBorder="1"/>
    <xf numFmtId="0" fontId="7" fillId="0" borderId="0" xfId="4" applyFont="1" applyFill="1" applyAlignment="1">
      <alignment wrapText="1"/>
    </xf>
    <xf numFmtId="3" fontId="6" fillId="0" borderId="2" xfId="4" applyNumberFormat="1" applyFont="1" applyFill="1" applyBorder="1" applyAlignment="1">
      <alignment wrapText="1"/>
    </xf>
    <xf numFmtId="3" fontId="6" fillId="0" borderId="0" xfId="4" applyNumberFormat="1" applyFont="1" applyFill="1" applyAlignment="1">
      <alignment wrapText="1"/>
    </xf>
    <xf numFmtId="165" fontId="7" fillId="0" borderId="0" xfId="4" applyNumberFormat="1" applyFont="1" applyFill="1"/>
    <xf numFmtId="3" fontId="7" fillId="0" borderId="0" xfId="0" applyNumberFormat="1" applyFont="1" applyFill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3" fontId="9" fillId="0" borderId="0" xfId="4" applyNumberFormat="1" applyFont="1" applyBorder="1" applyAlignment="1">
      <alignment vertical="center"/>
    </xf>
    <xf numFmtId="3" fontId="10" fillId="0" borderId="0" xfId="4" applyNumberFormat="1" applyFont="1" applyBorder="1" applyAlignment="1">
      <alignment vertical="center"/>
    </xf>
    <xf numFmtId="3" fontId="7" fillId="7" borderId="2" xfId="4" applyNumberFormat="1" applyFont="1" applyFill="1" applyBorder="1" applyAlignment="1">
      <alignment vertical="center" wrapText="1"/>
    </xf>
    <xf numFmtId="3" fontId="7" fillId="10" borderId="2" xfId="0" applyNumberFormat="1" applyFont="1" applyFill="1" applyBorder="1" applyAlignment="1">
      <alignment vertical="center" wrapText="1"/>
    </xf>
    <xf numFmtId="3" fontId="10" fillId="0" borderId="2" xfId="4" applyNumberFormat="1" applyFont="1" applyFill="1" applyBorder="1" applyAlignment="1">
      <alignment horizontal="right" vertical="center" wrapText="1"/>
    </xf>
    <xf numFmtId="3" fontId="7" fillId="0" borderId="2" xfId="4" applyNumberFormat="1" applyFont="1" applyFill="1" applyBorder="1"/>
    <xf numFmtId="3" fontId="7" fillId="0" borderId="0" xfId="0" applyNumberFormat="1" applyFont="1" applyFill="1" applyAlignment="1">
      <alignment wrapText="1"/>
    </xf>
    <xf numFmtId="3" fontId="7" fillId="0" borderId="0" xfId="0" applyNumberFormat="1" applyFont="1" applyFill="1"/>
    <xf numFmtId="165" fontId="7" fillId="0" borderId="0" xfId="9" applyNumberFormat="1" applyFont="1" applyFill="1" applyAlignment="1">
      <alignment wrapText="1"/>
    </xf>
    <xf numFmtId="3" fontId="7" fillId="0" borderId="2" xfId="0" applyNumberFormat="1" applyFont="1" applyFill="1" applyBorder="1"/>
    <xf numFmtId="0" fontId="6" fillId="0" borderId="2" xfId="0" applyFont="1" applyFill="1" applyBorder="1" applyAlignment="1">
      <alignment vertical="center" wrapText="1"/>
    </xf>
    <xf numFmtId="0" fontId="7" fillId="0" borderId="2" xfId="0" quotePrefix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14" xfId="4" applyFont="1" applyBorder="1" applyAlignment="1">
      <alignment vertical="center" wrapText="1"/>
    </xf>
    <xf numFmtId="0" fontId="10" fillId="0" borderId="4" xfId="4" applyFont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7" fillId="0" borderId="0" xfId="4" applyNumberFormat="1" applyFont="1" applyFill="1" applyBorder="1"/>
    <xf numFmtId="0" fontId="7" fillId="0" borderId="0" xfId="4" applyNumberFormat="1" applyFont="1" applyFill="1"/>
    <xf numFmtId="0" fontId="6" fillId="0" borderId="2" xfId="0" applyFont="1" applyBorder="1"/>
    <xf numFmtId="0" fontId="7" fillId="0" borderId="2" xfId="0" applyFont="1" applyFill="1" applyBorder="1"/>
    <xf numFmtId="0" fontId="10" fillId="0" borderId="2" xfId="4" applyFont="1" applyBorder="1" applyAlignment="1">
      <alignment horizontal="center" vertical="center"/>
    </xf>
    <xf numFmtId="3" fontId="7" fillId="0" borderId="0" xfId="4" applyNumberFormat="1" applyFont="1" applyFill="1" applyBorder="1" applyAlignment="1">
      <alignment vertical="center" wrapText="1"/>
    </xf>
    <xf numFmtId="0" fontId="23" fillId="0" borderId="0" xfId="14" applyFont="1" applyAlignment="1">
      <alignment horizontal="right" vertical="center" readingOrder="2"/>
    </xf>
    <xf numFmtId="0" fontId="1" fillId="0" borderId="0" xfId="14"/>
    <xf numFmtId="0" fontId="1" fillId="0" borderId="0" xfId="14" applyAlignment="1">
      <alignment horizontal="left"/>
    </xf>
    <xf numFmtId="0" fontId="25" fillId="0" borderId="0" xfId="14" applyFont="1" applyAlignment="1">
      <alignment horizontal="right" vertical="center" readingOrder="2"/>
    </xf>
    <xf numFmtId="0" fontId="23" fillId="0" borderId="0" xfId="14" applyFont="1" applyAlignment="1">
      <alignment horizontal="center" vertical="center" readingOrder="2"/>
    </xf>
    <xf numFmtId="0" fontId="26" fillId="0" borderId="0" xfId="14" applyFont="1" applyAlignment="1">
      <alignment horizontal="right" vertical="center" readingOrder="2"/>
    </xf>
    <xf numFmtId="0" fontId="27" fillId="0" borderId="0" xfId="14" applyFont="1" applyAlignment="1">
      <alignment horizontal="right" vertical="center" readingOrder="2"/>
    </xf>
    <xf numFmtId="0" fontId="27" fillId="0" borderId="0" xfId="14" quotePrefix="1" applyFont="1" applyAlignment="1">
      <alignment horizontal="left" vertical="center" readingOrder="2"/>
    </xf>
    <xf numFmtId="16" fontId="27" fillId="0" borderId="0" xfId="14" quotePrefix="1" applyNumberFormat="1" applyFont="1" applyAlignment="1">
      <alignment horizontal="left" vertical="center" readingOrder="2"/>
    </xf>
    <xf numFmtId="0" fontId="27" fillId="0" borderId="0" xfId="14" applyFont="1" applyAlignment="1">
      <alignment horizontal="left" vertical="center" readingOrder="2"/>
    </xf>
    <xf numFmtId="0" fontId="27" fillId="0" borderId="0" xfId="14" applyFont="1" applyAlignment="1">
      <alignment vertical="center" readingOrder="2"/>
    </xf>
    <xf numFmtId="0" fontId="28" fillId="0" borderId="0" xfId="14" applyFont="1" applyAlignment="1">
      <alignment horizontal="right" vertical="center" readingOrder="2"/>
    </xf>
    <xf numFmtId="0" fontId="29" fillId="0" borderId="0" xfId="14" applyFont="1" applyAlignment="1">
      <alignment horizontal="right" vertical="center" readingOrder="2"/>
    </xf>
    <xf numFmtId="0" fontId="27" fillId="0" borderId="0" xfId="14" applyFont="1" applyBorder="1" applyAlignment="1">
      <alignment horizontal="right" vertical="center" readingOrder="2"/>
    </xf>
    <xf numFmtId="0" fontId="30" fillId="0" borderId="0" xfId="14" applyFont="1" applyAlignment="1">
      <alignment horizontal="right" vertical="center" readingOrder="2"/>
    </xf>
    <xf numFmtId="0" fontId="27" fillId="0" borderId="0" xfId="14" quotePrefix="1" applyFont="1" applyAlignment="1">
      <alignment horizontal="right" vertical="center" readingOrder="2"/>
    </xf>
    <xf numFmtId="166" fontId="27" fillId="0" borderId="0" xfId="15" applyNumberFormat="1" applyFont="1" applyAlignment="1">
      <alignment horizontal="right" vertical="center" readingOrder="2"/>
    </xf>
    <xf numFmtId="166" fontId="31" fillId="0" borderId="0" xfId="15" applyNumberFormat="1" applyFont="1" applyAlignment="1">
      <alignment horizontal="right" vertical="center" readingOrder="2"/>
    </xf>
    <xf numFmtId="166" fontId="32" fillId="0" borderId="0" xfId="14" applyNumberFormat="1" applyFont="1" applyAlignment="1">
      <alignment horizontal="right" vertical="center" readingOrder="2"/>
    </xf>
    <xf numFmtId="0" fontId="28" fillId="0" borderId="2" xfId="14" applyFont="1" applyBorder="1" applyAlignment="1">
      <alignment horizontal="center" vertical="center" readingOrder="2"/>
    </xf>
    <xf numFmtId="0" fontId="28" fillId="0" borderId="2" xfId="14" applyFont="1" applyBorder="1" applyAlignment="1">
      <alignment horizontal="center" vertical="center" wrapText="1" readingOrder="2"/>
    </xf>
    <xf numFmtId="0" fontId="28" fillId="0" borderId="2" xfId="14" applyFont="1" applyBorder="1" applyAlignment="1">
      <alignment horizontal="right" vertical="center" readingOrder="2"/>
    </xf>
    <xf numFmtId="166" fontId="27" fillId="0" borderId="2" xfId="15" applyNumberFormat="1" applyFont="1" applyBorder="1" applyAlignment="1">
      <alignment horizontal="right" vertical="center" readingOrder="2"/>
    </xf>
    <xf numFmtId="0" fontId="28" fillId="0" borderId="2" xfId="14" applyFont="1" applyBorder="1" applyAlignment="1">
      <alignment horizontal="right" vertical="center" wrapText="1" readingOrder="2"/>
    </xf>
    <xf numFmtId="0" fontId="1" fillId="0" borderId="8" xfId="14" applyBorder="1"/>
    <xf numFmtId="0" fontId="27" fillId="0" borderId="4" xfId="14" applyFont="1" applyBorder="1" applyAlignment="1">
      <alignment horizontal="right" vertical="center" readingOrder="2"/>
    </xf>
    <xf numFmtId="0" fontId="27" fillId="0" borderId="5" xfId="14" applyFont="1" applyBorder="1" applyAlignment="1">
      <alignment horizontal="right" vertical="center" readingOrder="2"/>
    </xf>
    <xf numFmtId="0" fontId="1" fillId="0" borderId="6" xfId="14" applyBorder="1"/>
    <xf numFmtId="0" fontId="27" fillId="0" borderId="7" xfId="14" applyFont="1" applyBorder="1" applyAlignment="1">
      <alignment horizontal="right" vertical="center" readingOrder="2"/>
    </xf>
    <xf numFmtId="0" fontId="27" fillId="0" borderId="9" xfId="14" applyFont="1" applyBorder="1" applyAlignment="1">
      <alignment horizontal="right" vertical="center" readingOrder="2"/>
    </xf>
    <xf numFmtId="3" fontId="27" fillId="0" borderId="0" xfId="14" applyNumberFormat="1" applyFont="1" applyAlignment="1">
      <alignment horizontal="right" vertical="center" readingOrder="2"/>
    </xf>
    <xf numFmtId="0" fontId="28" fillId="0" borderId="17" xfId="14" applyFont="1" applyBorder="1" applyAlignment="1">
      <alignment horizontal="right" vertical="center" readingOrder="2"/>
    </xf>
    <xf numFmtId="0" fontId="33" fillId="0" borderId="18" xfId="14" applyFont="1" applyBorder="1"/>
    <xf numFmtId="0" fontId="1" fillId="0" borderId="19" xfId="14" applyBorder="1"/>
    <xf numFmtId="166" fontId="28" fillId="0" borderId="20" xfId="15" applyNumberFormat="1" applyFont="1" applyBorder="1" applyAlignment="1">
      <alignment horizontal="right" vertical="center" readingOrder="2"/>
    </xf>
    <xf numFmtId="166" fontId="28" fillId="0" borderId="21" xfId="15" applyNumberFormat="1" applyFont="1" applyBorder="1" applyAlignment="1">
      <alignment horizontal="right" vertical="center" readingOrder="2"/>
    </xf>
    <xf numFmtId="0" fontId="27" fillId="0" borderId="22" xfId="14" applyFont="1" applyBorder="1" applyAlignment="1">
      <alignment horizontal="right" vertical="center" readingOrder="2"/>
    </xf>
    <xf numFmtId="0" fontId="27" fillId="0" borderId="24" xfId="14" applyFont="1" applyBorder="1" applyAlignment="1">
      <alignment horizontal="right" vertical="center" readingOrder="2"/>
    </xf>
    <xf numFmtId="0" fontId="28" fillId="0" borderId="25" xfId="14" applyFont="1" applyBorder="1" applyAlignment="1">
      <alignment horizontal="right" vertical="center" readingOrder="2"/>
    </xf>
    <xf numFmtId="0" fontId="27" fillId="0" borderId="26" xfId="14" applyFont="1" applyBorder="1" applyAlignment="1">
      <alignment horizontal="right" vertical="center" readingOrder="2"/>
    </xf>
    <xf numFmtId="0" fontId="1" fillId="0" borderId="27" xfId="14" applyBorder="1"/>
    <xf numFmtId="166" fontId="28" fillId="0" borderId="29" xfId="15" applyNumberFormat="1" applyFont="1" applyBorder="1" applyAlignment="1">
      <alignment horizontal="right" vertical="center" readingOrder="2"/>
    </xf>
    <xf numFmtId="0" fontId="28" fillId="0" borderId="0" xfId="14" applyFont="1" applyBorder="1" applyAlignment="1">
      <alignment horizontal="right" vertical="center" readingOrder="2"/>
    </xf>
    <xf numFmtId="0" fontId="1" fillId="0" borderId="0" xfId="14" applyBorder="1"/>
    <xf numFmtId="166" fontId="28" fillId="0" borderId="0" xfId="15" applyNumberFormat="1" applyFont="1" applyBorder="1" applyAlignment="1">
      <alignment horizontal="right" vertical="center" readingOrder="2"/>
    </xf>
    <xf numFmtId="0" fontId="28" fillId="0" borderId="5" xfId="14" applyFont="1" applyBorder="1" applyAlignment="1">
      <alignment horizontal="right" vertical="center" readingOrder="2"/>
    </xf>
    <xf numFmtId="0" fontId="20" fillId="0" borderId="6" xfId="14" applyFont="1" applyBorder="1"/>
    <xf numFmtId="0" fontId="9" fillId="0" borderId="0" xfId="16" applyFont="1"/>
    <xf numFmtId="49" fontId="9" fillId="0" borderId="0" xfId="16" applyNumberFormat="1" applyFont="1"/>
    <xf numFmtId="3" fontId="9" fillId="0" borderId="0" xfId="16" applyNumberFormat="1" applyFont="1"/>
    <xf numFmtId="0" fontId="9" fillId="0" borderId="11" xfId="16" applyFont="1" applyBorder="1"/>
    <xf numFmtId="0" fontId="9" fillId="0" borderId="12" xfId="16" applyFont="1" applyBorder="1"/>
    <xf numFmtId="0" fontId="9" fillId="0" borderId="33" xfId="16" applyFont="1" applyBorder="1"/>
    <xf numFmtId="3" fontId="9" fillId="0" borderId="2" xfId="16" applyNumberFormat="1" applyFont="1" applyBorder="1"/>
    <xf numFmtId="3" fontId="9" fillId="0" borderId="23" xfId="16" applyNumberFormat="1" applyFont="1" applyBorder="1"/>
    <xf numFmtId="0" fontId="10" fillId="0" borderId="12" xfId="16" applyFont="1" applyBorder="1"/>
    <xf numFmtId="3" fontId="9" fillId="0" borderId="33" xfId="16" applyNumberFormat="1" applyFont="1" applyBorder="1"/>
    <xf numFmtId="3" fontId="9" fillId="0" borderId="33" xfId="16" applyNumberFormat="1" applyFont="1" applyFill="1" applyBorder="1"/>
    <xf numFmtId="0" fontId="10" fillId="0" borderId="0" xfId="16" applyFont="1"/>
    <xf numFmtId="3" fontId="10" fillId="0" borderId="33" xfId="16" applyNumberFormat="1" applyFont="1" applyBorder="1"/>
    <xf numFmtId="3" fontId="10" fillId="0" borderId="2" xfId="16" applyNumberFormat="1" applyFont="1" applyBorder="1"/>
    <xf numFmtId="3" fontId="10" fillId="0" borderId="23" xfId="16" applyNumberFormat="1" applyFont="1" applyBorder="1"/>
    <xf numFmtId="3" fontId="9" fillId="0" borderId="34" xfId="16" applyNumberFormat="1" applyFont="1" applyBorder="1"/>
    <xf numFmtId="0" fontId="10" fillId="0" borderId="13" xfId="16" applyFont="1" applyBorder="1"/>
    <xf numFmtId="3" fontId="10" fillId="0" borderId="35" xfId="16" applyNumberFormat="1" applyFont="1" applyBorder="1"/>
    <xf numFmtId="3" fontId="10" fillId="0" borderId="28" xfId="16" applyNumberFormat="1" applyFont="1" applyBorder="1"/>
    <xf numFmtId="3" fontId="10" fillId="0" borderId="29" xfId="16" applyNumberFormat="1" applyFont="1" applyBorder="1"/>
    <xf numFmtId="0" fontId="35" fillId="0" borderId="0" xfId="14" applyFont="1" applyAlignment="1">
      <alignment horizontal="right" vertical="center" readingOrder="2"/>
    </xf>
    <xf numFmtId="166" fontId="28" fillId="0" borderId="16" xfId="13" applyNumberFormat="1" applyFont="1" applyBorder="1" applyAlignment="1">
      <alignment horizontal="right" vertical="center" readingOrder="2"/>
    </xf>
    <xf numFmtId="3" fontId="9" fillId="0" borderId="2" xfId="4" applyNumberFormat="1" applyFont="1" applyBorder="1" applyAlignment="1">
      <alignment horizontal="right" vertical="center" wrapText="1"/>
    </xf>
    <xf numFmtId="0" fontId="9" fillId="0" borderId="0" xfId="4" applyFont="1" applyBorder="1" applyAlignment="1">
      <alignment vertical="center" wrapText="1"/>
    </xf>
    <xf numFmtId="3" fontId="9" fillId="7" borderId="2" xfId="4" applyNumberFormat="1" applyFont="1" applyFill="1" applyBorder="1" applyAlignment="1">
      <alignment vertical="center"/>
    </xf>
    <xf numFmtId="0" fontId="9" fillId="0" borderId="0" xfId="16" applyFont="1" applyAlignment="1">
      <alignment vertical="center"/>
    </xf>
    <xf numFmtId="3" fontId="10" fillId="0" borderId="2" xfId="16" applyNumberFormat="1" applyFont="1" applyBorder="1" applyAlignment="1">
      <alignment vertical="center"/>
    </xf>
    <xf numFmtId="3" fontId="10" fillId="0" borderId="6" xfId="16" applyNumberFormat="1" applyFont="1" applyBorder="1" applyAlignment="1">
      <alignment vertical="center"/>
    </xf>
    <xf numFmtId="3" fontId="10" fillId="0" borderId="2" xfId="16" applyNumberFormat="1" applyFont="1" applyFill="1" applyBorder="1" applyAlignment="1">
      <alignment vertical="center"/>
    </xf>
    <xf numFmtId="0" fontId="10" fillId="0" borderId="2" xfId="16" applyFont="1" applyBorder="1" applyAlignment="1">
      <alignment vertical="center"/>
    </xf>
    <xf numFmtId="3" fontId="9" fillId="0" borderId="2" xfId="16" applyNumberFormat="1" applyFont="1" applyBorder="1" applyAlignment="1">
      <alignment vertical="center"/>
    </xf>
    <xf numFmtId="0" fontId="9" fillId="0" borderId="2" xfId="16" applyFont="1" applyBorder="1" applyAlignment="1">
      <alignment vertical="center"/>
    </xf>
    <xf numFmtId="3" fontId="9" fillId="0" borderId="6" xfId="16" applyNumberFormat="1" applyFont="1" applyBorder="1" applyAlignment="1">
      <alignment vertical="center"/>
    </xf>
    <xf numFmtId="0" fontId="9" fillId="0" borderId="0" xfId="16" applyFont="1" applyBorder="1" applyAlignment="1">
      <alignment vertical="center"/>
    </xf>
    <xf numFmtId="3" fontId="9" fillId="0" borderId="0" xfId="16" applyNumberFormat="1" applyFont="1" applyBorder="1" applyAlignment="1">
      <alignment vertical="center"/>
    </xf>
    <xf numFmtId="3" fontId="7" fillId="0" borderId="2" xfId="16" applyNumberFormat="1" applyFont="1" applyBorder="1" applyAlignment="1">
      <alignment vertical="center" wrapText="1"/>
    </xf>
    <xf numFmtId="3" fontId="9" fillId="0" borderId="6" xfId="16" applyNumberFormat="1" applyFont="1" applyBorder="1"/>
    <xf numFmtId="3" fontId="9" fillId="0" borderId="0" xfId="16" applyNumberFormat="1" applyFont="1" applyBorder="1"/>
    <xf numFmtId="3" fontId="9" fillId="0" borderId="4" xfId="16" applyNumberFormat="1" applyFont="1" applyBorder="1"/>
    <xf numFmtId="0" fontId="9" fillId="0" borderId="2" xfId="16" applyFont="1" applyBorder="1"/>
    <xf numFmtId="0" fontId="9" fillId="0" borderId="0" xfId="16" applyFont="1" applyAlignment="1">
      <alignment horizontal="center" vertical="center"/>
    </xf>
    <xf numFmtId="0" fontId="10" fillId="0" borderId="2" xfId="16" applyFont="1" applyBorder="1" applyAlignment="1">
      <alignment horizontal="center" vertical="center"/>
    </xf>
    <xf numFmtId="3" fontId="10" fillId="0" borderId="2" xfId="16" applyNumberFormat="1" applyFont="1" applyBorder="1" applyAlignment="1">
      <alignment horizontal="center" vertical="center" wrapText="1"/>
    </xf>
    <xf numFmtId="3" fontId="10" fillId="0" borderId="6" xfId="16" applyNumberFormat="1" applyFont="1" applyBorder="1" applyAlignment="1">
      <alignment horizontal="center" vertical="center" wrapText="1"/>
    </xf>
    <xf numFmtId="0" fontId="36" fillId="0" borderId="0" xfId="14" applyFont="1"/>
    <xf numFmtId="166" fontId="28" fillId="0" borderId="36" xfId="15" applyNumberFormat="1" applyFont="1" applyBorder="1" applyAlignment="1">
      <alignment horizontal="right" vertical="center" readingOrder="2"/>
    </xf>
    <xf numFmtId="0" fontId="1" fillId="0" borderId="37" xfId="14" applyBorder="1"/>
    <xf numFmtId="166" fontId="28" fillId="0" borderId="38" xfId="15" applyNumberFormat="1" applyFont="1" applyBorder="1" applyAlignment="1">
      <alignment horizontal="right" vertical="center" readingOrder="2"/>
    </xf>
    <xf numFmtId="0" fontId="27" fillId="0" borderId="39" xfId="14" applyFont="1" applyBorder="1"/>
    <xf numFmtId="3" fontId="27" fillId="0" borderId="40" xfId="14" applyNumberFormat="1" applyFont="1" applyBorder="1" applyAlignment="1">
      <alignment horizontal="right" vertical="center" readingOrder="2"/>
    </xf>
    <xf numFmtId="166" fontId="28" fillId="0" borderId="32" xfId="15" applyNumberFormat="1" applyFont="1" applyBorder="1" applyAlignment="1">
      <alignment horizontal="right" vertical="center" readingOrder="2"/>
    </xf>
    <xf numFmtId="0" fontId="28" fillId="0" borderId="35" xfId="14" applyFont="1" applyBorder="1" applyAlignment="1">
      <alignment horizontal="right" vertical="center" readingOrder="2"/>
    </xf>
    <xf numFmtId="0" fontId="27" fillId="0" borderId="33" xfId="14" applyFont="1" applyBorder="1" applyAlignment="1">
      <alignment horizontal="right" vertical="center" readingOrder="2"/>
    </xf>
    <xf numFmtId="0" fontId="28" fillId="0" borderId="21" xfId="14" applyFont="1" applyBorder="1" applyAlignment="1">
      <alignment horizontal="right" vertical="center" readingOrder="2"/>
    </xf>
    <xf numFmtId="0" fontId="28" fillId="0" borderId="20" xfId="14" applyFont="1" applyBorder="1" applyAlignment="1">
      <alignment horizontal="center" vertical="center" readingOrder="2"/>
    </xf>
    <xf numFmtId="0" fontId="27" fillId="0" borderId="43" xfId="14" applyFont="1" applyBorder="1" applyAlignment="1">
      <alignment horizontal="right" vertical="center" readingOrder="2"/>
    </xf>
    <xf numFmtId="3" fontId="27" fillId="0" borderId="2" xfId="14" applyNumberFormat="1" applyFont="1" applyBorder="1" applyAlignment="1">
      <alignment horizontal="right" vertical="center" readingOrder="2"/>
    </xf>
    <xf numFmtId="3" fontId="28" fillId="0" borderId="28" xfId="14" applyNumberFormat="1" applyFont="1" applyBorder="1" applyAlignment="1">
      <alignment horizontal="right" vertical="center" readingOrder="2"/>
    </xf>
    <xf numFmtId="0" fontId="27" fillId="0" borderId="35" xfId="14" applyFont="1" applyBorder="1" applyAlignment="1">
      <alignment horizontal="right" vertical="center" readingOrder="2"/>
    </xf>
    <xf numFmtId="0" fontId="28" fillId="0" borderId="21" xfId="14" applyFont="1" applyBorder="1" applyAlignment="1">
      <alignment horizontal="center" vertical="center" readingOrder="2"/>
    </xf>
    <xf numFmtId="0" fontId="28" fillId="0" borderId="43" xfId="14" applyFont="1" applyBorder="1" applyAlignment="1">
      <alignment horizontal="right" vertical="center" readingOrder="2"/>
    </xf>
    <xf numFmtId="3" fontId="28" fillId="0" borderId="16" xfId="14" applyNumberFormat="1" applyFont="1" applyBorder="1" applyAlignment="1">
      <alignment horizontal="right" vertical="center" readingOrder="2"/>
    </xf>
    <xf numFmtId="0" fontId="28" fillId="0" borderId="16" xfId="14" applyFont="1" applyBorder="1" applyAlignment="1">
      <alignment horizontal="right" vertical="center" readingOrder="2"/>
    </xf>
    <xf numFmtId="9" fontId="27" fillId="0" borderId="23" xfId="9" applyFont="1" applyBorder="1" applyAlignment="1">
      <alignment horizontal="right" vertical="center" readingOrder="2"/>
    </xf>
    <xf numFmtId="9" fontId="27" fillId="0" borderId="29" xfId="9" applyFont="1" applyBorder="1" applyAlignment="1">
      <alignment horizontal="right" vertical="center" readingOrder="2"/>
    </xf>
    <xf numFmtId="0" fontId="27" fillId="0" borderId="44" xfId="14" applyFont="1" applyBorder="1" applyAlignment="1">
      <alignment horizontal="right" vertical="center" readingOrder="2"/>
    </xf>
    <xf numFmtId="3" fontId="27" fillId="0" borderId="2" xfId="14" applyNumberFormat="1" applyFont="1" applyBorder="1" applyAlignment="1">
      <alignment horizontal="center" vertical="center" readingOrder="2"/>
    </xf>
    <xf numFmtId="3" fontId="28" fillId="0" borderId="28" xfId="14" applyNumberFormat="1" applyFont="1" applyBorder="1" applyAlignment="1">
      <alignment horizontal="center" vertical="center" readingOrder="2"/>
    </xf>
    <xf numFmtId="3" fontId="27" fillId="0" borderId="23" xfId="14" applyNumberFormat="1" applyFont="1" applyBorder="1" applyAlignment="1">
      <alignment horizontal="center" vertical="center" readingOrder="2"/>
    </xf>
    <xf numFmtId="3" fontId="27" fillId="0" borderId="29" xfId="14" applyNumberFormat="1" applyFont="1" applyBorder="1" applyAlignment="1">
      <alignment horizontal="center" vertical="center" readingOrder="2"/>
    </xf>
    <xf numFmtId="3" fontId="28" fillId="0" borderId="23" xfId="14" applyNumberFormat="1" applyFont="1" applyBorder="1" applyAlignment="1">
      <alignment horizontal="center" vertical="center" readingOrder="2"/>
    </xf>
    <xf numFmtId="0" fontId="27" fillId="0" borderId="44" xfId="14" applyFont="1" applyBorder="1" applyAlignment="1">
      <alignment horizontal="right" vertical="center" wrapText="1" readingOrder="2"/>
    </xf>
    <xf numFmtId="3" fontId="7" fillId="0" borderId="10" xfId="0" applyNumberFormat="1" applyFont="1" applyBorder="1" applyAlignment="1">
      <alignment vertical="center" wrapText="1"/>
    </xf>
    <xf numFmtId="0" fontId="7" fillId="0" borderId="10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/>
    <xf numFmtId="3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2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5" fillId="0" borderId="2" xfId="4" applyFont="1" applyBorder="1" applyAlignment="1">
      <alignment vertical="center" wrapText="1"/>
    </xf>
    <xf numFmtId="0" fontId="5" fillId="0" borderId="0" xfId="4" applyFont="1" applyAlignment="1">
      <alignment vertical="center" wrapText="1"/>
    </xf>
    <xf numFmtId="0" fontId="10" fillId="3" borderId="0" xfId="4" applyFont="1" applyFill="1" applyAlignment="1">
      <alignment vertical="center" wrapText="1"/>
    </xf>
    <xf numFmtId="3" fontId="6" fillId="0" borderId="0" xfId="4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10" fillId="0" borderId="2" xfId="0" applyFont="1" applyBorder="1" applyAlignment="1"/>
    <xf numFmtId="0" fontId="10" fillId="0" borderId="0" xfId="0" applyFont="1" applyAlignment="1">
      <alignment wrapText="1"/>
    </xf>
    <xf numFmtId="0" fontId="10" fillId="0" borderId="2" xfId="0" applyFont="1" applyBorder="1"/>
    <xf numFmtId="0" fontId="10" fillId="0" borderId="0" xfId="0" applyFont="1"/>
    <xf numFmtId="0" fontId="10" fillId="0" borderId="3" xfId="0" applyFont="1" applyFill="1" applyBorder="1" applyAlignment="1">
      <alignment vertical="center" wrapText="1"/>
    </xf>
    <xf numFmtId="3" fontId="10" fillId="10" borderId="2" xfId="0" applyNumberFormat="1" applyFont="1" applyFill="1" applyBorder="1" applyAlignment="1">
      <alignment vertical="center" wrapText="1"/>
    </xf>
    <xf numFmtId="0" fontId="10" fillId="0" borderId="0" xfId="0" applyFont="1" applyFill="1"/>
    <xf numFmtId="0" fontId="10" fillId="0" borderId="3" xfId="0" applyFont="1" applyFill="1" applyBorder="1" applyAlignment="1">
      <alignment horizontal="right" vertical="center" wrapText="1"/>
    </xf>
    <xf numFmtId="3" fontId="7" fillId="9" borderId="2" xfId="4" applyNumberFormat="1" applyFont="1" applyFill="1" applyBorder="1"/>
    <xf numFmtId="3" fontId="7" fillId="0" borderId="0" xfId="4" applyNumberFormat="1" applyFont="1" applyBorder="1" applyAlignment="1">
      <alignment vertical="center" wrapText="1"/>
    </xf>
    <xf numFmtId="0" fontId="10" fillId="0" borderId="2" xfId="4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vertical="center" wrapText="1"/>
    </xf>
    <xf numFmtId="3" fontId="10" fillId="4" borderId="2" xfId="0" applyNumberFormat="1" applyFont="1" applyFill="1" applyBorder="1" applyAlignment="1">
      <alignment vertical="center" wrapText="1"/>
    </xf>
    <xf numFmtId="0" fontId="5" fillId="0" borderId="4" xfId="4" applyFont="1" applyBorder="1" applyAlignment="1">
      <alignment vertical="center" wrapText="1"/>
    </xf>
    <xf numFmtId="0" fontId="37" fillId="0" borderId="0" xfId="12" applyFont="1"/>
    <xf numFmtId="0" fontId="10" fillId="0" borderId="2" xfId="12" applyFont="1" applyBorder="1" applyAlignment="1">
      <alignment horizontal="right" vertical="center" wrapText="1"/>
    </xf>
    <xf numFmtId="0" fontId="38" fillId="0" borderId="0" xfId="14" applyFont="1" applyAlignment="1">
      <alignment horizontal="right" vertical="center" readingOrder="2"/>
    </xf>
    <xf numFmtId="0" fontId="39" fillId="0" borderId="0" xfId="14" applyFont="1"/>
    <xf numFmtId="9" fontId="1" fillId="0" borderId="0" xfId="9" applyFont="1"/>
    <xf numFmtId="9" fontId="28" fillId="0" borderId="29" xfId="9" applyFont="1" applyBorder="1" applyAlignment="1">
      <alignment vertical="center" readingOrder="2"/>
    </xf>
    <xf numFmtId="9" fontId="28" fillId="0" borderId="2" xfId="9" applyFont="1" applyBorder="1" applyAlignment="1">
      <alignment horizontal="right" vertical="center" readingOrder="2"/>
    </xf>
    <xf numFmtId="9" fontId="28" fillId="0" borderId="29" xfId="9" applyFont="1" applyBorder="1" applyAlignment="1">
      <alignment horizontal="right" vertical="center" readingOrder="2"/>
    </xf>
    <xf numFmtId="3" fontId="28" fillId="0" borderId="0" xfId="14" applyNumberFormat="1" applyFont="1" applyBorder="1" applyAlignment="1">
      <alignment horizontal="right" vertical="center" readingOrder="2"/>
    </xf>
    <xf numFmtId="0" fontId="25" fillId="0" borderId="0" xfId="14" applyFont="1" applyBorder="1" applyAlignment="1">
      <alignment horizontal="right" vertical="center" readingOrder="2"/>
    </xf>
    <xf numFmtId="0" fontId="33" fillId="0" borderId="0" xfId="14" applyFont="1" applyBorder="1"/>
    <xf numFmtId="3" fontId="27" fillId="0" borderId="0" xfId="14" applyNumberFormat="1" applyFont="1" applyBorder="1" applyAlignment="1">
      <alignment horizontal="right" vertical="center" readingOrder="2"/>
    </xf>
    <xf numFmtId="0" fontId="20" fillId="0" borderId="0" xfId="14" applyFont="1" applyBorder="1"/>
    <xf numFmtId="166" fontId="28" fillId="0" borderId="0" xfId="15" applyNumberFormat="1" applyFont="1" applyBorder="1" applyAlignment="1">
      <alignment vertical="center" readingOrder="2"/>
    </xf>
    <xf numFmtId="0" fontId="27" fillId="0" borderId="0" xfId="14" quotePrefix="1" applyFont="1" applyBorder="1" applyAlignment="1">
      <alignment horizontal="right" vertical="center" readingOrder="2"/>
    </xf>
    <xf numFmtId="0" fontId="26" fillId="0" borderId="0" xfId="14" applyFont="1" applyBorder="1" applyAlignment="1">
      <alignment horizontal="right" vertical="center" readingOrder="2"/>
    </xf>
    <xf numFmtId="0" fontId="35" fillId="0" borderId="0" xfId="14" applyFont="1" applyBorder="1" applyAlignment="1">
      <alignment horizontal="right" vertical="center" readingOrder="2"/>
    </xf>
    <xf numFmtId="3" fontId="28" fillId="0" borderId="29" xfId="14" applyNumberFormat="1" applyFont="1" applyBorder="1" applyAlignment="1">
      <alignment horizontal="center" vertical="center" readingOrder="2"/>
    </xf>
    <xf numFmtId="3" fontId="27" fillId="0" borderId="45" xfId="14" applyNumberFormat="1" applyFont="1" applyBorder="1" applyAlignment="1">
      <alignment horizontal="center" vertical="center" readingOrder="2"/>
    </xf>
    <xf numFmtId="3" fontId="27" fillId="0" borderId="28" xfId="14" applyNumberFormat="1" applyFont="1" applyBorder="1" applyAlignment="1">
      <alignment horizontal="center" vertical="center" readingOrder="2"/>
    </xf>
    <xf numFmtId="166" fontId="27" fillId="0" borderId="23" xfId="15" applyNumberFormat="1" applyFont="1" applyBorder="1" applyAlignment="1">
      <alignment horizontal="right" vertical="center" readingOrder="2"/>
    </xf>
    <xf numFmtId="0" fontId="27" fillId="0" borderId="38" xfId="14" applyFont="1" applyBorder="1" applyAlignment="1">
      <alignment horizontal="right" vertical="center" readingOrder="2"/>
    </xf>
    <xf numFmtId="166" fontId="28" fillId="0" borderId="28" xfId="15" applyNumberFormat="1" applyFont="1" applyBorder="1" applyAlignment="1">
      <alignment horizontal="right" vertical="center" readingOrder="2"/>
    </xf>
    <xf numFmtId="166" fontId="28" fillId="0" borderId="28" xfId="15" applyNumberFormat="1" applyFont="1" applyBorder="1" applyAlignment="1">
      <alignment vertical="center" readingOrder="2"/>
    </xf>
    <xf numFmtId="0" fontId="27" fillId="0" borderId="40" xfId="14" applyFont="1" applyBorder="1" applyAlignment="1">
      <alignment horizontal="right" vertical="center" readingOrder="2"/>
    </xf>
    <xf numFmtId="166" fontId="28" fillId="0" borderId="36" xfId="15" applyNumberFormat="1" applyFont="1" applyBorder="1" applyAlignment="1">
      <alignment vertical="center" readingOrder="2"/>
    </xf>
    <xf numFmtId="0" fontId="24" fillId="0" borderId="0" xfId="14" applyFont="1" applyAlignment="1">
      <alignment horizontal="center" vertical="center" readingOrder="2"/>
    </xf>
    <xf numFmtId="0" fontId="34" fillId="0" borderId="0" xfId="16" applyFont="1" applyAlignment="1">
      <alignment horizontal="center"/>
    </xf>
    <xf numFmtId="3" fontId="9" fillId="0" borderId="30" xfId="16" applyNumberFormat="1" applyFont="1" applyBorder="1" applyAlignment="1">
      <alignment horizontal="center"/>
    </xf>
    <xf numFmtId="3" fontId="9" fillId="0" borderId="31" xfId="16" applyNumberFormat="1" applyFont="1" applyBorder="1" applyAlignment="1">
      <alignment horizontal="center"/>
    </xf>
    <xf numFmtId="3" fontId="9" fillId="0" borderId="32" xfId="16" applyNumberFormat="1" applyFont="1" applyBorder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3" fontId="10" fillId="0" borderId="4" xfId="16" applyNumberFormat="1" applyFont="1" applyBorder="1" applyAlignment="1">
      <alignment horizontal="center" vertical="center" wrapText="1"/>
    </xf>
    <xf numFmtId="3" fontId="10" fillId="0" borderId="6" xfId="16" applyNumberFormat="1" applyFont="1" applyBorder="1" applyAlignment="1">
      <alignment horizontal="center" vertical="center" wrapText="1"/>
    </xf>
    <xf numFmtId="166" fontId="28" fillId="0" borderId="42" xfId="15" applyNumberFormat="1" applyFont="1" applyBorder="1" applyAlignment="1">
      <alignment horizontal="center" vertical="center" readingOrder="2"/>
    </xf>
    <xf numFmtId="166" fontId="28" fillId="0" borderId="31" xfId="15" applyNumberFormat="1" applyFont="1" applyBorder="1" applyAlignment="1">
      <alignment horizontal="center" vertical="center" readingOrder="2"/>
    </xf>
    <xf numFmtId="166" fontId="28" fillId="0" borderId="41" xfId="15" applyNumberFormat="1" applyFont="1" applyBorder="1" applyAlignment="1">
      <alignment horizontal="center" vertical="center" readingOrder="2"/>
    </xf>
    <xf numFmtId="0" fontId="27" fillId="0" borderId="4" xfId="14" applyFont="1" applyBorder="1" applyAlignment="1">
      <alignment horizontal="center" vertical="center" wrapText="1" readingOrder="2"/>
    </xf>
    <xf numFmtId="0" fontId="27" fillId="0" borderId="5" xfId="14" applyFont="1" applyBorder="1" applyAlignment="1">
      <alignment horizontal="center" vertical="center" wrapText="1" readingOrder="2"/>
    </xf>
    <xf numFmtId="0" fontId="27" fillId="0" borderId="6" xfId="14" applyFont="1" applyBorder="1" applyAlignment="1">
      <alignment horizontal="center" vertical="center" wrapText="1" readingOrder="2"/>
    </xf>
    <xf numFmtId="0" fontId="27" fillId="0" borderId="4" xfId="14" applyFont="1" applyBorder="1" applyAlignment="1">
      <alignment horizontal="center" wrapText="1"/>
    </xf>
    <xf numFmtId="0" fontId="27" fillId="0" borderId="5" xfId="14" applyFont="1" applyBorder="1" applyAlignment="1">
      <alignment horizontal="center" wrapText="1"/>
    </xf>
    <xf numFmtId="0" fontId="27" fillId="0" borderId="6" xfId="14" applyFont="1" applyBorder="1" applyAlignment="1">
      <alignment horizontal="center" wrapText="1"/>
    </xf>
    <xf numFmtId="0" fontId="27" fillId="0" borderId="4" xfId="14" applyFont="1" applyBorder="1" applyAlignment="1">
      <alignment horizontal="center"/>
    </xf>
    <xf numFmtId="0" fontId="27" fillId="0" borderId="5" xfId="14" applyFont="1" applyBorder="1" applyAlignment="1">
      <alignment horizontal="center"/>
    </xf>
    <xf numFmtId="0" fontId="27" fillId="0" borderId="6" xfId="14" applyFont="1" applyBorder="1" applyAlignment="1">
      <alignment horizontal="center"/>
    </xf>
    <xf numFmtId="0" fontId="5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12" applyFont="1" applyAlignment="1">
      <alignment horizontal="center"/>
    </xf>
  </cellXfs>
  <cellStyles count="17">
    <cellStyle name="Comma" xfId="13" builtinId="3"/>
    <cellStyle name="Comma 2" xfId="11"/>
    <cellStyle name="Comma 3" xfId="15"/>
    <cellStyle name="Normal" xfId="0" builtinId="0"/>
    <cellStyle name="Normal 2" xfId="1"/>
    <cellStyle name="Normal 2 2" xfId="5"/>
    <cellStyle name="Normal 2 3" xfId="16"/>
    <cellStyle name="Normal 2_ריכוז אגפים" xfId="6"/>
    <cellStyle name="Normal 3" xfId="2"/>
    <cellStyle name="Normal 4" xfId="4"/>
    <cellStyle name="Normal 5" xfId="12"/>
    <cellStyle name="Normal 6" xfId="14"/>
    <cellStyle name="Percent" xfId="9" builtinId="5"/>
    <cellStyle name="Percent 2" xfId="10"/>
    <cellStyle name="הערה 2" xfId="3"/>
    <cellStyle name="הערה 2 2" xfId="7"/>
    <cellStyle name="הערה 2_ריכוז אגפים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he-IL" sz="1800" b="1" i="0" baseline="0">
              <a:effectLst/>
            </a:endParaRPr>
          </a:p>
          <a:p>
            <a:pPr>
              <a:defRPr/>
            </a:pPr>
            <a:r>
              <a:rPr lang="he-IL" sz="1800" b="1" i="0" u="sng" baseline="0">
                <a:effectLst/>
              </a:rPr>
              <a:t>תרשים לפי אגפים</a:t>
            </a:r>
            <a:endParaRPr lang="he-IL" u="sng">
              <a:effectLst/>
            </a:endParaRPr>
          </a:p>
          <a:p>
            <a:pPr>
              <a:defRPr/>
            </a:pPr>
            <a:r>
              <a:rPr lang="he-IL" sz="1800" b="1" i="0" u="sng" strike="noStrike" kern="1200" baseline="0">
                <a:solidFill>
                  <a:srgbClr val="000000"/>
                </a:solidFill>
                <a:effectLst/>
                <a:latin typeface="David"/>
                <a:ea typeface="David"/>
                <a:cs typeface="David"/>
              </a:rPr>
              <a:t>באלפי ש"ח 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8469493278179"/>
          <c:y val="0.51186440677966105"/>
          <c:w val="0.43123061013443642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51-4F06-8AD8-EA74D34110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851-4F06-8AD8-EA74D34110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851-4F06-8AD8-EA74D34110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851-4F06-8AD8-EA74D34110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851-4F06-8AD8-EA74D34110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851-4F06-8AD8-EA74D34110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851-4F06-8AD8-EA74D34110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C851-4F06-8AD8-EA74D34110C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851-4F06-8AD8-EA74D34110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C851-4F06-8AD8-EA74D34110C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C851-4F06-8AD8-EA74D34110C8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C851-4F06-8AD8-EA74D34110C8}"/>
              </c:ext>
            </c:extLst>
          </c:dPt>
          <c:dLbls>
            <c:dLbl>
              <c:idx val="0"/>
              <c:layout>
                <c:manualLayout>
                  <c:x val="9.4943964476002035E-2"/>
                  <c:y val="-6.13658970594777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1-4F06-8AD8-EA74D34110C8}"/>
                </c:ext>
              </c:extLst>
            </c:dLbl>
            <c:dLbl>
              <c:idx val="1"/>
              <c:layout>
                <c:manualLayout>
                  <c:x val="8.8061081299687594E-2"/>
                  <c:y val="2.380657502557943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51-4F06-8AD8-EA74D34110C8}"/>
                </c:ext>
              </c:extLst>
            </c:dLbl>
            <c:dLbl>
              <c:idx val="2"/>
              <c:layout>
                <c:manualLayout>
                  <c:x val="-5.1406291604853757E-2"/>
                  <c:y val="0.256485608790426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51-4F06-8AD8-EA74D34110C8}"/>
                </c:ext>
              </c:extLst>
            </c:dLbl>
            <c:dLbl>
              <c:idx val="3"/>
              <c:layout>
                <c:manualLayout>
                  <c:x val="-9.8229351765811879E-2"/>
                  <c:y val="0.1567496774767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51-4F06-8AD8-EA74D34110C8}"/>
                </c:ext>
              </c:extLst>
            </c:dLbl>
            <c:dLbl>
              <c:idx val="4"/>
              <c:layout>
                <c:manualLayout>
                  <c:x val="-0.10974950261517208"/>
                  <c:y val="7.27126651541438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51-4F06-8AD8-EA74D34110C8}"/>
                </c:ext>
              </c:extLst>
            </c:dLbl>
            <c:dLbl>
              <c:idx val="5"/>
              <c:layout>
                <c:manualLayout>
                  <c:x val="-8.3776487608128614E-2"/>
                  <c:y val="-9.122469860758939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1-4F06-8AD8-EA74D34110C8}"/>
                </c:ext>
              </c:extLst>
            </c:dLbl>
            <c:dLbl>
              <c:idx val="6"/>
              <c:layout>
                <c:manualLayout>
                  <c:x val="-8.0788975835104374E-2"/>
                  <c:y val="-7.64103385381911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51-4F06-8AD8-EA74D34110C8}"/>
                </c:ext>
              </c:extLst>
            </c:dLbl>
            <c:dLbl>
              <c:idx val="7"/>
              <c:layout>
                <c:manualLayout>
                  <c:x val="-9.8847152895960411E-2"/>
                  <c:y val="-0.144930290493349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51-4F06-8AD8-EA74D34110C8}"/>
                </c:ext>
              </c:extLst>
            </c:dLbl>
            <c:dLbl>
              <c:idx val="8"/>
              <c:layout>
                <c:manualLayout>
                  <c:x val="-0.15092053513993273"/>
                  <c:y val="-0.217580319409226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51-4F06-8AD8-EA74D34110C8}"/>
                </c:ext>
              </c:extLst>
            </c:dLbl>
            <c:dLbl>
              <c:idx val="9"/>
              <c:layout>
                <c:manualLayout>
                  <c:x val="2.5958900949170392E-2"/>
                  <c:y val="-0.211665821433337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51-4F06-8AD8-EA74D34110C8}"/>
                </c:ext>
              </c:extLst>
            </c:dLbl>
            <c:dLbl>
              <c:idx val="10"/>
              <c:layout>
                <c:manualLayout>
                  <c:x val="0.20222622120528624"/>
                  <c:y val="-0.190864896125272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51-4F06-8AD8-EA74D3411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David"/>
                    <a:ea typeface="David"/>
                    <a:cs typeface="David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'תקציב 2017  אגפים מקורות'!$C$6:$C$18</c:f>
              <c:strCache>
                <c:ptCount val="13"/>
                <c:pt idx="0">
                  <c:v>אגף הנדסה</c:v>
                </c:pt>
                <c:pt idx="1">
                  <c:v>החברה לפיתוח הרצליה</c:v>
                </c:pt>
                <c:pt idx="2">
                  <c:v>אגף ת.ב.ל </c:v>
                </c:pt>
                <c:pt idx="3">
                  <c:v>אגף בטחון,פיקוח וסדר ציבורי</c:v>
                </c:pt>
                <c:pt idx="4">
                  <c:v>אגף חינוך רווחה וספורט</c:v>
                </c:pt>
                <c:pt idx="5">
                  <c:v>אגף ש.א.י.פ.ה</c:v>
                </c:pt>
                <c:pt idx="6">
                  <c:v>חופי רחצה</c:v>
                </c:pt>
                <c:pt idx="7">
                  <c:v>איכות הסביבה</c:v>
                </c:pt>
                <c:pt idx="8">
                  <c:v>החברה לפיתוח התיירות</c:v>
                </c:pt>
                <c:pt idx="9">
                  <c:v>אגף מיחשוב ומידע</c:v>
                </c:pt>
                <c:pt idx="10">
                  <c:v>מחלקת נכסים וביטוח</c:v>
                </c:pt>
                <c:pt idx="11">
                  <c:v>שיפוץ חזיתות/עמידר</c:v>
                </c:pt>
                <c:pt idx="12">
                  <c:v>כללי</c:v>
                </c:pt>
              </c:strCache>
            </c:strRef>
          </c:cat>
          <c:val>
            <c:numRef>
              <c:f>'תקציב 2017  אגפים מקורות'!$F$6:$F$18</c:f>
              <c:numCache>
                <c:formatCode>#,##0</c:formatCode>
                <c:ptCount val="13"/>
                <c:pt idx="0">
                  <c:v>17494.931</c:v>
                </c:pt>
                <c:pt idx="1">
                  <c:v>331656.81599999999</c:v>
                </c:pt>
                <c:pt idx="2">
                  <c:v>24019</c:v>
                </c:pt>
                <c:pt idx="3">
                  <c:v>500</c:v>
                </c:pt>
                <c:pt idx="4">
                  <c:v>2255.0790000000002</c:v>
                </c:pt>
                <c:pt idx="5">
                  <c:v>14614.32</c:v>
                </c:pt>
                <c:pt idx="6">
                  <c:v>1650</c:v>
                </c:pt>
                <c:pt idx="7">
                  <c:v>-2852.9409999999998</c:v>
                </c:pt>
                <c:pt idx="8">
                  <c:v>10175.040000000001</c:v>
                </c:pt>
                <c:pt idx="9">
                  <c:v>4697.9997599999997</c:v>
                </c:pt>
                <c:pt idx="10">
                  <c:v>2645</c:v>
                </c:pt>
                <c:pt idx="11">
                  <c:v>11550</c:v>
                </c:pt>
                <c:pt idx="12">
                  <c:v>16216.02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851-4F06-8AD8-EA74D34110C8}"/>
            </c:ext>
          </c:extLst>
        </c:ser>
        <c:ser>
          <c:idx val="1"/>
          <c:order val="1"/>
          <c:cat>
            <c:strRef>
              <c:f>'תקציב 2017  אגפים מקורות'!$C$6:$C$18</c:f>
              <c:strCache>
                <c:ptCount val="13"/>
                <c:pt idx="0">
                  <c:v>אגף הנדסה</c:v>
                </c:pt>
                <c:pt idx="1">
                  <c:v>החברה לפיתוח הרצליה</c:v>
                </c:pt>
                <c:pt idx="2">
                  <c:v>אגף ת.ב.ל </c:v>
                </c:pt>
                <c:pt idx="3">
                  <c:v>אגף בטחון,פיקוח וסדר ציבורי</c:v>
                </c:pt>
                <c:pt idx="4">
                  <c:v>אגף חינוך רווחה וספורט</c:v>
                </c:pt>
                <c:pt idx="5">
                  <c:v>אגף ש.א.י.פ.ה</c:v>
                </c:pt>
                <c:pt idx="6">
                  <c:v>חופי רחצה</c:v>
                </c:pt>
                <c:pt idx="7">
                  <c:v>איכות הסביבה</c:v>
                </c:pt>
                <c:pt idx="8">
                  <c:v>החברה לפיתוח התיירות</c:v>
                </c:pt>
                <c:pt idx="9">
                  <c:v>אגף מיחשוב ומידע</c:v>
                </c:pt>
                <c:pt idx="10">
                  <c:v>מחלקת נכסים וביטוח</c:v>
                </c:pt>
                <c:pt idx="11">
                  <c:v>שיפוץ חזיתות/עמידר</c:v>
                </c:pt>
                <c:pt idx="12">
                  <c:v>כללי</c:v>
                </c:pt>
              </c:strCache>
            </c:strRef>
          </c:cat>
          <c:val>
            <c:numRef>
              <c:f>'תקציב 2017  אגפים מקורות'!$J$6:$J$18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C851-4F06-8AD8-EA74D341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/>
          <a:ea typeface="David"/>
          <a:cs typeface="David"/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lang="he-IL" sz="1800" b="1" i="0" u="none" strike="noStrike" baseline="0">
              <a:solidFill>
                <a:srgbClr val="000000"/>
              </a:solidFill>
              <a:cs typeface="David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lang="he-IL" sz="1800" b="1" i="0" u="sng" strike="noStrike" baseline="0">
                <a:solidFill>
                  <a:srgbClr val="000000"/>
                </a:solidFill>
                <a:cs typeface="David"/>
              </a:rPr>
              <a:t>תרשים לפי פרקים</a:t>
            </a:r>
            <a:r>
              <a:rPr lang="en-US" sz="1800" b="1" i="0" u="sng" strike="noStrike" baseline="0">
                <a:solidFill>
                  <a:srgbClr val="000000"/>
                </a:solidFill>
                <a:cs typeface="David"/>
              </a:rPr>
              <a:t/>
            </a:r>
            <a:br>
              <a:rPr lang="en-US" sz="1800" b="1" i="0" u="sng" strike="noStrike" baseline="0">
                <a:solidFill>
                  <a:srgbClr val="000000"/>
                </a:solidFill>
                <a:cs typeface="David"/>
              </a:rPr>
            </a:br>
            <a:r>
              <a:rPr lang="he-IL" sz="1800" b="1" i="0" u="sng" strike="noStrike" baseline="0">
                <a:solidFill>
                  <a:srgbClr val="000000"/>
                </a:solidFill>
                <a:cs typeface="David"/>
              </a:rPr>
              <a:t>באלפי ש"ח  </a:t>
            </a:r>
          </a:p>
        </c:rich>
      </c:tx>
      <c:layout>
        <c:manualLayout>
          <c:xMode val="edge"/>
          <c:yMode val="edge"/>
          <c:x val="0.37130271759508326"/>
          <c:y val="2.937853107344632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8469493278179"/>
          <c:y val="0.51186440677966105"/>
          <c:w val="0.43123061013443642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FEE-46F1-903E-24EC29CA79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EE-46F1-903E-24EC29CA79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FEE-46F1-903E-24EC29CA79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FEE-46F1-903E-24EC29CA79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FEE-46F1-903E-24EC29CA79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FEE-46F1-903E-24EC29CA795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8FEE-46F1-903E-24EC29CA795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8FEE-46F1-903E-24EC29CA795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8FEE-46F1-903E-24EC29CA795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8FEE-46F1-903E-24EC29CA795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8FEE-46F1-903E-24EC29CA795B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8FEE-46F1-903E-24EC29CA795B}"/>
              </c:ext>
            </c:extLst>
          </c:dPt>
          <c:dLbls>
            <c:dLbl>
              <c:idx val="0"/>
              <c:layout>
                <c:manualLayout>
                  <c:x val="9.3338658754612197E-2"/>
                  <c:y val="2.3859602295475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EE-46F1-903E-24EC29CA795B}"/>
                </c:ext>
              </c:extLst>
            </c:dLbl>
            <c:dLbl>
              <c:idx val="1"/>
              <c:layout>
                <c:manualLayout>
                  <c:x val="-6.4685392586796217E-3"/>
                  <c:y val="0.1512764802704746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EE-46F1-903E-24EC29CA795B}"/>
                </c:ext>
              </c:extLst>
            </c:dLbl>
            <c:dLbl>
              <c:idx val="2"/>
              <c:layout>
                <c:manualLayout>
                  <c:x val="-0.12445335637393153"/>
                  <c:y val="4.61554339605854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EE-46F1-903E-24EC29CA795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6839199447895101"/>
                  <c:y val="-0.205898660972463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860593512767426"/>
                      <c:h val="7.45876595933982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EE-46F1-903E-24EC29CA795B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27422794976714865"/>
                  <c:y val="-0.196527959428800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EE-46F1-903E-24EC29CA795B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David"/>
                      <a:ea typeface="David"/>
                      <a:cs typeface="David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David"/>
                    <a:ea typeface="David"/>
                    <a:cs typeface="David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'תקציב 2017 פרקים'!$C$8:$C$18</c:f>
              <c:strCache>
                <c:ptCount val="11"/>
                <c:pt idx="0">
                  <c:v>נכסים ציבוריים</c:v>
                </c:pt>
                <c:pt idx="1">
                  <c:v>חינוך רווחה וספורט</c:v>
                </c:pt>
                <c:pt idx="2">
                  <c:v>נכסים</c:v>
                </c:pt>
                <c:pt idx="3">
                  <c:v>תרבות הדיור</c:v>
                </c:pt>
                <c:pt idx="4">
                  <c:v>חופים</c:v>
                </c:pt>
                <c:pt idx="5">
                  <c:v>תכנון בנין עיר</c:v>
                </c:pt>
                <c:pt idx="6">
                  <c:v>מינהל כללי</c:v>
                </c:pt>
                <c:pt idx="7">
                  <c:v>שרותים עירוניים שונים</c:v>
                </c:pt>
                <c:pt idx="8">
                  <c:v>מבני דת ציבוריים</c:v>
                </c:pt>
                <c:pt idx="9">
                  <c:v>שיקום שכונות ומרחב ציבורי</c:v>
                </c:pt>
                <c:pt idx="10">
                  <c:v>איכות הסביבה</c:v>
                </c:pt>
              </c:strCache>
            </c:strRef>
          </c:cat>
          <c:val>
            <c:numRef>
              <c:f>'תקציב 2017 פרקים'!$F$8:$F$18</c:f>
              <c:numCache>
                <c:formatCode>_ * #,##0_ ;_ * \-#,##0_ ;_ * "-"??_ ;_ @_ </c:formatCode>
                <c:ptCount val="11"/>
                <c:pt idx="0">
                  <c:v>261941.394</c:v>
                </c:pt>
                <c:pt idx="1">
                  <c:v>113548.697</c:v>
                </c:pt>
                <c:pt idx="2">
                  <c:v>4670</c:v>
                </c:pt>
                <c:pt idx="3">
                  <c:v>11500</c:v>
                </c:pt>
                <c:pt idx="4">
                  <c:v>1750</c:v>
                </c:pt>
                <c:pt idx="5">
                  <c:v>21722.794999999998</c:v>
                </c:pt>
                <c:pt idx="6">
                  <c:v>288</c:v>
                </c:pt>
                <c:pt idx="7">
                  <c:v>9229.9997600000006</c:v>
                </c:pt>
                <c:pt idx="8">
                  <c:v>3700</c:v>
                </c:pt>
                <c:pt idx="9">
                  <c:v>4274.32</c:v>
                </c:pt>
                <c:pt idx="10">
                  <c:v>1996.059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FEE-46F1-903E-24EC29CA795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'תקציב 2017 פרקים'!$C$8:$C$18</c:f>
              <c:strCache>
                <c:ptCount val="11"/>
                <c:pt idx="0">
                  <c:v>נכסים ציבוריים</c:v>
                </c:pt>
                <c:pt idx="1">
                  <c:v>חינוך רווחה וספורט</c:v>
                </c:pt>
                <c:pt idx="2">
                  <c:v>נכסים</c:v>
                </c:pt>
                <c:pt idx="3">
                  <c:v>תרבות הדיור</c:v>
                </c:pt>
                <c:pt idx="4">
                  <c:v>חופים</c:v>
                </c:pt>
                <c:pt idx="5">
                  <c:v>תכנון בנין עיר</c:v>
                </c:pt>
                <c:pt idx="6">
                  <c:v>מינהל כללי</c:v>
                </c:pt>
                <c:pt idx="7">
                  <c:v>שרותים עירוניים שונים</c:v>
                </c:pt>
                <c:pt idx="8">
                  <c:v>מבני דת ציבוריים</c:v>
                </c:pt>
                <c:pt idx="9">
                  <c:v>שיקום שכונות ומרחב ציבורי</c:v>
                </c:pt>
                <c:pt idx="10">
                  <c:v>איכות הסביבה</c:v>
                </c:pt>
              </c:strCache>
            </c:strRef>
          </c:cat>
          <c:val>
            <c:numRef>
              <c:f>'תקציב 2017 פרקים'!$I$8:$I$18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FEE-46F1-903E-24EC29CA79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/>
          <a:ea typeface="David"/>
          <a:cs typeface="David"/>
        </a:defRPr>
      </a:pPr>
      <a:endParaRPr lang="he-IL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lang="he-IL" sz="1800" b="1" i="0" u="sng" strike="noStrike" baseline="0">
                <a:solidFill>
                  <a:srgbClr val="000000"/>
                </a:solidFill>
                <a:cs typeface="David"/>
              </a:rPr>
              <a:t>תרשים לפי מקורות מימון</a:t>
            </a:r>
            <a:r>
              <a:rPr lang="en-US" sz="1800" b="1" i="0" u="sng" strike="noStrike" baseline="0">
                <a:solidFill>
                  <a:srgbClr val="000000"/>
                </a:solidFill>
                <a:cs typeface="David"/>
              </a:rPr>
              <a:t/>
            </a:r>
            <a:br>
              <a:rPr lang="en-US" sz="1800" b="1" i="0" u="sng" strike="noStrike" baseline="0">
                <a:solidFill>
                  <a:srgbClr val="000000"/>
                </a:solidFill>
                <a:cs typeface="David"/>
              </a:rPr>
            </a:br>
            <a:r>
              <a:rPr lang="he-IL" sz="1800" b="1" i="0" u="sng" strike="noStrike" baseline="0">
                <a:solidFill>
                  <a:srgbClr val="000000"/>
                </a:solidFill>
                <a:cs typeface="David"/>
              </a:rPr>
              <a:t>באלפי ש"ח </a:t>
            </a:r>
          </a:p>
        </c:rich>
      </c:tx>
      <c:layout>
        <c:manualLayout>
          <c:xMode val="edge"/>
          <c:yMode val="edge"/>
          <c:x val="0.32299353885112192"/>
          <c:y val="4.74576271186440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8469493278179"/>
          <c:y val="0.51186440677966105"/>
          <c:w val="0.43123061013443642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D26-43C9-8CFE-43BE1411A7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D26-43C9-8CFE-43BE1411A7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D26-43C9-8CFE-43BE1411A7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D26-43C9-8CFE-43BE1411A700}"/>
              </c:ext>
            </c:extLst>
          </c:dPt>
          <c:dLbls>
            <c:dLbl>
              <c:idx val="0"/>
              <c:layout>
                <c:manualLayout>
                  <c:x val="0.10877522571089403"/>
                  <c:y val="-0.292658417697787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26-43C9-8CFE-43BE1411A700}"/>
                </c:ext>
              </c:extLst>
            </c:dLbl>
            <c:dLbl>
              <c:idx val="1"/>
              <c:layout>
                <c:manualLayout>
                  <c:x val="8.6677993051698418E-2"/>
                  <c:y val="0.134917599585766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6-43C9-8CFE-43BE1411A700}"/>
                </c:ext>
              </c:extLst>
            </c:dLbl>
            <c:dLbl>
              <c:idx val="2"/>
              <c:layout>
                <c:manualLayout>
                  <c:x val="-0.18251403357189042"/>
                  <c:y val="4.32645580319409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6-43C9-8CFE-43BE1411A700}"/>
                </c:ext>
              </c:extLst>
            </c:dLbl>
            <c:dLbl>
              <c:idx val="3"/>
              <c:layout>
                <c:manualLayout>
                  <c:x val="-1.5259036603826985E-2"/>
                  <c:y val="-0.282936775760172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6-43C9-8CFE-43BE1411A700}"/>
                </c:ext>
              </c:extLst>
            </c:dLbl>
            <c:dLbl>
              <c:idx val="4"/>
              <c:layout>
                <c:manualLayout>
                  <c:x val="-0.10974950261517208"/>
                  <c:y val="7.27126651541438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26-43C9-8CFE-43BE1411A700}"/>
                </c:ext>
              </c:extLst>
            </c:dLbl>
            <c:dLbl>
              <c:idx val="5"/>
              <c:layout>
                <c:manualLayout>
                  <c:x val="-8.3776487608128614E-2"/>
                  <c:y val="-9.122469860758939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26-43C9-8CFE-43BE1411A700}"/>
                </c:ext>
              </c:extLst>
            </c:dLbl>
            <c:dLbl>
              <c:idx val="6"/>
              <c:layout>
                <c:manualLayout>
                  <c:x val="-8.0788975835104374E-2"/>
                  <c:y val="-7.64103385381911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26-43C9-8CFE-43BE1411A700}"/>
                </c:ext>
              </c:extLst>
            </c:dLbl>
            <c:dLbl>
              <c:idx val="7"/>
              <c:layout>
                <c:manualLayout>
                  <c:x val="-9.8847152895960411E-2"/>
                  <c:y val="-0.144930290493349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26-43C9-8CFE-43BE1411A700}"/>
                </c:ext>
              </c:extLst>
            </c:dLbl>
            <c:dLbl>
              <c:idx val="8"/>
              <c:layout>
                <c:manualLayout>
                  <c:x val="-0.15092053513993273"/>
                  <c:y val="-0.217580319409226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26-43C9-8CFE-43BE1411A700}"/>
                </c:ext>
              </c:extLst>
            </c:dLbl>
            <c:dLbl>
              <c:idx val="9"/>
              <c:layout>
                <c:manualLayout>
                  <c:x val="2.5958900949170392E-2"/>
                  <c:y val="-0.211665821433337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26-43C9-8CFE-43BE1411A700}"/>
                </c:ext>
              </c:extLst>
            </c:dLbl>
            <c:dLbl>
              <c:idx val="10"/>
              <c:layout>
                <c:manualLayout>
                  <c:x val="0.20222622120528624"/>
                  <c:y val="-0.190864896125272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26-43C9-8CFE-43BE1411A7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David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'תקציב 2017  אגפים מקורות'!$C$24:$C$27</c:f>
              <c:strCache>
                <c:ptCount val="4"/>
                <c:pt idx="0">
                  <c:v>קרן לעבודות פיתוח</c:v>
                </c:pt>
                <c:pt idx="1">
                  <c:v>קרן עודפי תקציב רגיל</c:v>
                </c:pt>
                <c:pt idx="2">
                  <c:v>קרן למכירת רכוש</c:v>
                </c:pt>
                <c:pt idx="3">
                  <c:v>סה"כ משרדי ממשלה ואחרים</c:v>
                </c:pt>
              </c:strCache>
            </c:strRef>
          </c:cat>
          <c:val>
            <c:numRef>
              <c:f>'תקציב 2017  אגפים מקורות'!$F$24:$F$27</c:f>
              <c:numCache>
                <c:formatCode>#,##0</c:formatCode>
                <c:ptCount val="4"/>
                <c:pt idx="0">
                  <c:v>163255</c:v>
                </c:pt>
                <c:pt idx="1">
                  <c:v>35000</c:v>
                </c:pt>
                <c:pt idx="3">
                  <c:v>236366.26500000001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D26-43C9-8CFE-43BE1411A700}"/>
            </c:ext>
          </c:extLst>
        </c:ser>
        <c:ser>
          <c:idx val="1"/>
          <c:order val="1"/>
          <c:cat>
            <c:strRef>
              <c:f>'תקציב 2017  אגפים מקורות'!$C$24:$C$27</c:f>
              <c:strCache>
                <c:ptCount val="4"/>
                <c:pt idx="0">
                  <c:v>קרן לעבודות פיתוח</c:v>
                </c:pt>
                <c:pt idx="1">
                  <c:v>קרן עודפי תקציב רגיל</c:v>
                </c:pt>
                <c:pt idx="2">
                  <c:v>קרן למכירת רכוש</c:v>
                </c:pt>
                <c:pt idx="3">
                  <c:v>סה"כ משרדי ממשלה ואחרים</c:v>
                </c:pt>
              </c:strCache>
            </c:strRef>
          </c:cat>
          <c:val>
            <c:numRef>
              <c:f>'תקציב 2017  אגפים מקורות'!$J$24:$J$27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D26-43C9-8CFE-43BE1411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/>
          <a:ea typeface="David"/>
          <a:cs typeface="David"/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12</xdr:row>
      <xdr:rowOff>171450</xdr:rowOff>
    </xdr:from>
    <xdr:to>
      <xdr:col>5</xdr:col>
      <xdr:colOff>342900</xdr:colOff>
      <xdr:row>20</xdr:row>
      <xdr:rowOff>152400</xdr:rowOff>
    </xdr:to>
    <xdr:pic>
      <xdr:nvPicPr>
        <xdr:cNvPr id="3" name="תמונה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295500" y="3257550"/>
          <a:ext cx="23526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13</xdr:row>
      <xdr:rowOff>38100</xdr:rowOff>
    </xdr:from>
    <xdr:to>
      <xdr:col>9</xdr:col>
      <xdr:colOff>590550</xdr:colOff>
      <xdr:row>21</xdr:row>
      <xdr:rowOff>0</xdr:rowOff>
    </xdr:to>
    <xdr:pic>
      <xdr:nvPicPr>
        <xdr:cNvPr id="4" name="תמונה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09450" y="3305175"/>
          <a:ext cx="237172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148</xdr:row>
      <xdr:rowOff>0</xdr:rowOff>
    </xdr:from>
    <xdr:to>
      <xdr:col>26</xdr:col>
      <xdr:colOff>152400</xdr:colOff>
      <xdr:row>148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30270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077425" y="3541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174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077425" y="35223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175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077425" y="3541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0</xdr:colOff>
      <xdr:row>148</xdr:row>
      <xdr:rowOff>0</xdr:rowOff>
    </xdr:from>
    <xdr:ext cx="152400" cy="152400"/>
    <xdr:pic>
      <xdr:nvPicPr>
        <xdr:cNvPr id="6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521975" y="2684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87</xdr:row>
      <xdr:rowOff>0</xdr:rowOff>
    </xdr:from>
    <xdr:to>
      <xdr:col>26</xdr:col>
      <xdr:colOff>152400</xdr:colOff>
      <xdr:row>87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17929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12307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117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63400" y="2253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06225" y="2253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73</xdr:row>
      <xdr:rowOff>0</xdr:rowOff>
    </xdr:from>
    <xdr:to>
      <xdr:col>26</xdr:col>
      <xdr:colOff>152400</xdr:colOff>
      <xdr:row>73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6716200" y="15344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860950" y="20488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7392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182075" y="2253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112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182075" y="2291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74</xdr:row>
      <xdr:rowOff>0</xdr:rowOff>
    </xdr:from>
    <xdr:to>
      <xdr:col>26</xdr:col>
      <xdr:colOff>152400</xdr:colOff>
      <xdr:row>74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550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887175" y="2065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74</xdr:row>
      <xdr:rowOff>0</xdr:rowOff>
    </xdr:from>
    <xdr:to>
      <xdr:col>26</xdr:col>
      <xdr:colOff>152400</xdr:colOff>
      <xdr:row>74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5106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524975" y="202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101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524975" y="202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186</xdr:row>
      <xdr:rowOff>0</xdr:rowOff>
    </xdr:from>
    <xdr:to>
      <xdr:col>26</xdr:col>
      <xdr:colOff>152400</xdr:colOff>
      <xdr:row>186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122550" y="326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152400</xdr:colOff>
      <xdr:row>213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847825" y="3783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214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847825" y="3802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214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847825" y="3802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055625" y="3130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181075" y="3511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209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181075" y="34928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210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181075" y="3511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162</xdr:row>
      <xdr:rowOff>0</xdr:rowOff>
    </xdr:from>
    <xdr:to>
      <xdr:col>26</xdr:col>
      <xdr:colOff>152400</xdr:colOff>
      <xdr:row>162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751075" y="2453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52625" y="2967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189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52625" y="2967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189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52625" y="2967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0</xdr:colOff>
      <xdr:row>162</xdr:row>
      <xdr:rowOff>0</xdr:rowOff>
    </xdr:from>
    <xdr:ext cx="152400" cy="152400"/>
    <xdr:pic>
      <xdr:nvPicPr>
        <xdr:cNvPr id="6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751075" y="2453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95</xdr:row>
      <xdr:rowOff>0</xdr:rowOff>
    </xdr:from>
    <xdr:to>
      <xdr:col>26</xdr:col>
      <xdr:colOff>152400</xdr:colOff>
      <xdr:row>95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635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85875" y="2149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122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85875" y="2149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85875" y="21497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0" y="190500"/>
    <xdr:ext cx="9201150" cy="56197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119</xdr:row>
      <xdr:rowOff>0</xdr:rowOff>
    </xdr:from>
    <xdr:to>
      <xdr:col>26</xdr:col>
      <xdr:colOff>152400</xdr:colOff>
      <xdr:row>119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2038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76375" y="2552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146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76375" y="2552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76375" y="2552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167</xdr:row>
      <xdr:rowOff>0</xdr:rowOff>
    </xdr:from>
    <xdr:to>
      <xdr:col>26</xdr:col>
      <xdr:colOff>152400</xdr:colOff>
      <xdr:row>167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2508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38250" y="3023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193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38250" y="3004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194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38250" y="3023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0</xdr:colOff>
      <xdr:row>167</xdr:row>
      <xdr:rowOff>0</xdr:rowOff>
    </xdr:from>
    <xdr:ext cx="152400" cy="152400"/>
    <xdr:pic>
      <xdr:nvPicPr>
        <xdr:cNvPr id="6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2508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97</xdr:row>
      <xdr:rowOff>0</xdr:rowOff>
    </xdr:from>
    <xdr:to>
      <xdr:col>26</xdr:col>
      <xdr:colOff>152400</xdr:colOff>
      <xdr:row>97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5182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47800" y="2089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127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47800" y="2089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47800" y="2089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80</xdr:row>
      <xdr:rowOff>0</xdr:rowOff>
    </xdr:from>
    <xdr:to>
      <xdr:col>26</xdr:col>
      <xdr:colOff>152400</xdr:colOff>
      <xdr:row>80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310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47800" y="182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84</xdr:row>
      <xdr:rowOff>0</xdr:rowOff>
    </xdr:from>
    <xdr:to>
      <xdr:col>26</xdr:col>
      <xdr:colOff>152400</xdr:colOff>
      <xdr:row>84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720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285975" y="2234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113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285975" y="22726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79</xdr:row>
      <xdr:rowOff>0</xdr:rowOff>
    </xdr:from>
    <xdr:to>
      <xdr:col>26</xdr:col>
      <xdr:colOff>152400</xdr:colOff>
      <xdr:row>79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41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343000" y="1931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84</xdr:row>
      <xdr:rowOff>0</xdr:rowOff>
    </xdr:from>
    <xdr:to>
      <xdr:col>26</xdr:col>
      <xdr:colOff>152400</xdr:colOff>
      <xdr:row>84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684400" y="15106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24150" y="202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111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24150" y="202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142875"/>
    <xdr:ext cx="9201150" cy="56197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38100"/>
    <xdr:ext cx="9201150" cy="56197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180</xdr:row>
      <xdr:rowOff>0</xdr:rowOff>
    </xdr:from>
    <xdr:to>
      <xdr:col>26</xdr:col>
      <xdr:colOff>152400</xdr:colOff>
      <xdr:row>180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42033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152400</xdr:colOff>
      <xdr:row>207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25175" y="47177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208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25175" y="47367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208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25175" y="47367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178</xdr:row>
      <xdr:rowOff>0</xdr:rowOff>
    </xdr:from>
    <xdr:to>
      <xdr:col>26</xdr:col>
      <xdr:colOff>152400</xdr:colOff>
      <xdr:row>178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17929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12307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197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82425" y="2902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198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725250" y="2902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141</xdr:row>
      <xdr:rowOff>0</xdr:rowOff>
    </xdr:from>
    <xdr:to>
      <xdr:col>26</xdr:col>
      <xdr:colOff>152400</xdr:colOff>
      <xdr:row>141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391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887300" y="4431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168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887300" y="4431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168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887300" y="4431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0</xdr:colOff>
      <xdr:row>141</xdr:row>
      <xdr:rowOff>0</xdr:rowOff>
    </xdr:from>
    <xdr:ext cx="152400" cy="152400"/>
    <xdr:pic>
      <xdr:nvPicPr>
        <xdr:cNvPr id="6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264675" y="2910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897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34800" y="241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117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34800" y="241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34800" y="241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114</xdr:row>
      <xdr:rowOff>0</xdr:rowOff>
    </xdr:from>
    <xdr:to>
      <xdr:col>26</xdr:col>
      <xdr:colOff>152400</xdr:colOff>
      <xdr:row>114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2392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58650" y="2907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141</xdr:row>
      <xdr:rowOff>0</xdr:rowOff>
    </xdr:from>
    <xdr:ext cx="152400" cy="152400"/>
    <xdr:pic>
      <xdr:nvPicPr>
        <xdr:cNvPr id="4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58650" y="2907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141</xdr:row>
      <xdr:rowOff>0</xdr:rowOff>
    </xdr:from>
    <xdr:ext cx="152400" cy="152400"/>
    <xdr:pic>
      <xdr:nvPicPr>
        <xdr:cNvPr id="5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58650" y="2907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nerp\AppData\Local\Microsoft\Windows\Temporary%20Internet%20Files\Content.Outlook\O0A5I2T5\&#1492;&#1510;&#1506;&#1514;%20&#1492;&#1514;&#1511;&#1510;&#1497;&#1489;%202017%20&#1504;&#1505;&#1508;&#1495;%20&#1488;%20&#1491;&#1493;&#1489;&#1512;&#1493;&#15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nerp\AppData\Local\Microsoft\Windows\Temporary%20Internet%20Files\Content.Outlook\O0A5I2T5\&#1504;&#1505;&#1508;&#1495;%20&#1488;%20&#1514;&#1511;&#1510;&#1497;&#1489;%20&#1489;&#1502;&#1505;&#1490;&#1512;&#1514;%20&#1514;&#1493;&#1499;&#1504;&#1497;&#1514;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511;&#1510;&#1497;&#1489;%202016\&#1502;&#1497;&#1502;&#1493;&#1513;%20&#1514;&#1511;&#1510;&#1497;&#1489;%20&#1502;&#1505;&#1490;&#1512;&#1514;%202016\&#1505;&#1508;&#1496;&#1502;&#1489;&#1512;%202016\&#1514;&#1511;&#1510;&#1497;&#1489;%20&#1508;&#1497;&#1514;&#1493;&#1495;%202016%20&#1502;&#1497;&#1502;&#1493;&#1513;%209.2016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493;&#1499;&#1504;&#1497;&#1514;%20&#1506;&#1489;&#1493;&#1491;&#1492;%202017\&#1502;&#1497;&#1502;&#1493;&#1513;%20&#1514;&#1511;&#1510;&#1497;&#1489;%202016\&#1502;&#1497;&#1502;&#1493;&#1513;%20&#1514;&#1511;&#1510;&#1497;&#1489;%202016%20&#1500;&#1514;&#1506;%202017%20(&#1502;&#1513;&#1493;&#1495;&#1494;&#1512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511;&#1510;&#1497;&#1489;%202016\&#1502;&#1497;&#1502;&#1493;&#1513;%20&#1514;&#1511;&#1510;&#1497;&#1489;%20&#1502;&#1505;&#1490;&#1512;&#1514;%202016\&#1491;&#1510;&#1502;&#1489;&#1512;%202016\&#1514;&#1511;&#1510;&#1497;&#1489;%20&#1508;&#1497;&#1514;&#1493;&#1495;%202016%20&#1502;&#1497;&#1502;&#1493;&#1513;%2012.201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 א"/>
      <sheetName val="ריכוז אגפים"/>
      <sheetName val="הנדסה "/>
      <sheetName val="החברה לפיתוח "/>
      <sheetName val="תבל "/>
      <sheetName val="בטחון"/>
      <sheetName val="חינוך תנוס "/>
      <sheetName val="שאיפה "/>
      <sheetName val="החברה לתיירות "/>
      <sheetName val="מיחשוב "/>
      <sheetName val="נכסים"/>
      <sheetName val="שיפוצי בתים עמידר"/>
      <sheetName val="כללי"/>
      <sheetName val="ריכוז תקציבים מעבר לתוכנית 31.8"/>
    </sheetNames>
    <sheetDataSet>
      <sheetData sheetId="0"/>
      <sheetData sheetId="1">
        <row r="35">
          <cell r="AJ35">
            <v>159109375</v>
          </cell>
          <cell r="AK35">
            <v>27815000</v>
          </cell>
          <cell r="AL35">
            <v>2900000</v>
          </cell>
        </row>
      </sheetData>
      <sheetData sheetId="2">
        <row r="208">
          <cell r="AZ208">
            <v>54907556</v>
          </cell>
        </row>
        <row r="209">
          <cell r="AZ209">
            <v>7715000</v>
          </cell>
        </row>
      </sheetData>
      <sheetData sheetId="3">
        <row r="58">
          <cell r="AY58">
            <v>54712469</v>
          </cell>
        </row>
      </sheetData>
      <sheetData sheetId="4">
        <row r="86">
          <cell r="AY86">
            <v>3701120</v>
          </cell>
        </row>
        <row r="87">
          <cell r="AY87">
            <v>2550000</v>
          </cell>
        </row>
      </sheetData>
      <sheetData sheetId="5">
        <row r="12">
          <cell r="AY12">
            <v>550000</v>
          </cell>
        </row>
      </sheetData>
      <sheetData sheetId="6">
        <row r="44">
          <cell r="AY44">
            <v>460000</v>
          </cell>
        </row>
      </sheetData>
      <sheetData sheetId="7">
        <row r="28">
          <cell r="AY28">
            <v>1550000</v>
          </cell>
        </row>
        <row r="62">
          <cell r="AY62">
            <v>25000</v>
          </cell>
        </row>
      </sheetData>
      <sheetData sheetId="8">
        <row r="25">
          <cell r="AY25">
            <v>200000</v>
          </cell>
        </row>
      </sheetData>
      <sheetData sheetId="9">
        <row r="20">
          <cell r="AY20">
            <v>2650000</v>
          </cell>
        </row>
      </sheetData>
      <sheetData sheetId="10"/>
      <sheetData sheetId="11">
        <row r="12">
          <cell r="AY12">
            <v>3400000</v>
          </cell>
        </row>
      </sheetData>
      <sheetData sheetId="12">
        <row r="18">
          <cell r="AY18">
            <v>350000</v>
          </cell>
        </row>
      </sheetData>
      <sheetData sheetId="13">
        <row r="24">
          <cell r="AD24">
            <v>12650000</v>
          </cell>
        </row>
        <row r="53">
          <cell r="AD53">
            <v>300000</v>
          </cell>
        </row>
        <row r="59">
          <cell r="AD59">
            <v>41652000</v>
          </cell>
        </row>
        <row r="100">
          <cell r="AD100">
            <v>14652000</v>
          </cell>
        </row>
        <row r="106">
          <cell r="AD106">
            <v>348500</v>
          </cell>
        </row>
        <row r="115">
          <cell r="AD115">
            <v>670000</v>
          </cell>
        </row>
        <row r="126">
          <cell r="AD126">
            <v>980000</v>
          </cell>
        </row>
        <row r="147">
          <cell r="AD147">
            <v>170000</v>
          </cell>
        </row>
        <row r="155">
          <cell r="AD155">
            <v>2750000</v>
          </cell>
        </row>
        <row r="159">
          <cell r="AD159">
            <v>1250000</v>
          </cell>
        </row>
        <row r="164">
          <cell r="AD164">
            <v>7155000</v>
          </cell>
        </row>
        <row r="184">
          <cell r="AG184">
            <v>110261063</v>
          </cell>
          <cell r="AH184">
            <v>11939500</v>
          </cell>
          <cell r="AI184">
            <v>15390020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 א"/>
      <sheetName val="ריכוז אגפים"/>
      <sheetName val="הנדסה "/>
      <sheetName val="החברה לפיתוח "/>
      <sheetName val="תבל "/>
      <sheetName val="בטחון"/>
      <sheetName val="חינוך תנוס "/>
      <sheetName val="שאיפה "/>
      <sheetName val="החברה לתיירות "/>
      <sheetName val="מיחשוב "/>
      <sheetName val="נכסים"/>
      <sheetName val="שיפוצי בתים עמידר"/>
      <sheetName val="כללי"/>
      <sheetName val="ריכוז תקציבים מעבר לתוכנית 31.8"/>
    </sheetNames>
    <sheetDataSet>
      <sheetData sheetId="0" refreshError="1"/>
      <sheetData sheetId="1">
        <row r="35">
          <cell r="AJ35">
            <v>159409375</v>
          </cell>
          <cell r="AM35">
            <v>34413356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אגפים"/>
      <sheetName val="כללי"/>
      <sheetName val="שיפוצי בתים עמידר"/>
      <sheetName val="נכסים"/>
      <sheetName val="מיחשוב "/>
      <sheetName val="החברה לתיירות "/>
      <sheetName val="שאיפה "/>
      <sheetName val="חינוך תנוס "/>
      <sheetName val="בטחון"/>
      <sheetName val="תבל "/>
      <sheetName val="החברה לפיתוח "/>
      <sheetName val="הנדסה "/>
    </sheetNames>
    <sheetDataSet>
      <sheetData sheetId="0"/>
      <sheetData sheetId="1">
        <row r="17">
          <cell r="AZ17">
            <v>350000</v>
          </cell>
        </row>
      </sheetData>
      <sheetData sheetId="2">
        <row r="11">
          <cell r="AZ11">
            <v>900000</v>
          </cell>
        </row>
      </sheetData>
      <sheetData sheetId="3"/>
      <sheetData sheetId="4"/>
      <sheetData sheetId="5">
        <row r="24">
          <cell r="AZ24">
            <v>200000</v>
          </cell>
        </row>
      </sheetData>
      <sheetData sheetId="6">
        <row r="27">
          <cell r="AZ27">
            <v>450000</v>
          </cell>
        </row>
        <row r="61">
          <cell r="AZ61">
            <v>25000</v>
          </cell>
        </row>
      </sheetData>
      <sheetData sheetId="7">
        <row r="43">
          <cell r="AZ43">
            <v>310000</v>
          </cell>
        </row>
      </sheetData>
      <sheetData sheetId="8">
        <row r="12">
          <cell r="AZ12">
            <v>100000</v>
          </cell>
        </row>
      </sheetData>
      <sheetData sheetId="9">
        <row r="84">
          <cell r="AZ84">
            <v>100000</v>
          </cell>
        </row>
        <row r="85">
          <cell r="AZ85">
            <v>1000000</v>
          </cell>
        </row>
      </sheetData>
      <sheetData sheetId="10">
        <row r="57">
          <cell r="AZ57">
            <v>2700000</v>
          </cell>
        </row>
      </sheetData>
      <sheetData sheetId="11">
        <row r="178">
          <cell r="BA178">
            <v>6915000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אגפים"/>
      <sheetName val="כללי"/>
      <sheetName val="שיפוצי בתים עמידר"/>
      <sheetName val="נכסים"/>
      <sheetName val="מיחשוב "/>
      <sheetName val="החברה לתיירות "/>
      <sheetName val="שאיפה "/>
      <sheetName val="חינוך תנוס "/>
      <sheetName val="בטחון"/>
      <sheetName val="תבל "/>
      <sheetName val="החברה לפיתוח "/>
      <sheetName val="הנדסה "/>
    </sheetNames>
    <sheetDataSet>
      <sheetData sheetId="0">
        <row r="33">
          <cell r="AG33">
            <v>133271145</v>
          </cell>
        </row>
      </sheetData>
      <sheetData sheetId="1"/>
      <sheetData sheetId="2">
        <row r="11">
          <cell r="AY11">
            <v>3400000</v>
          </cell>
        </row>
      </sheetData>
      <sheetData sheetId="3"/>
      <sheetData sheetId="4"/>
      <sheetData sheetId="5"/>
      <sheetData sheetId="6">
        <row r="27">
          <cell r="AY27">
            <v>1550000</v>
          </cell>
        </row>
      </sheetData>
      <sheetData sheetId="7">
        <row r="43">
          <cell r="AY43">
            <v>460000</v>
          </cell>
        </row>
      </sheetData>
      <sheetData sheetId="8">
        <row r="13">
          <cell r="AY13">
            <v>550000</v>
          </cell>
        </row>
      </sheetData>
      <sheetData sheetId="9">
        <row r="87">
          <cell r="AY87">
            <v>2650000</v>
          </cell>
        </row>
      </sheetData>
      <sheetData sheetId="10">
        <row r="57">
          <cell r="AY57">
            <v>54712469</v>
          </cell>
        </row>
      </sheetData>
      <sheetData sheetId="11">
        <row r="208">
          <cell r="AZ208">
            <v>8115000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אגפים"/>
      <sheetName val="כללי"/>
      <sheetName val="שיפוצי בתים עמידר"/>
      <sheetName val="נכסים"/>
      <sheetName val="מיחשוב "/>
      <sheetName val="החברה לתיירות "/>
      <sheetName val="שאיפה "/>
      <sheetName val="חינוך תנוס "/>
      <sheetName val="בטחון"/>
      <sheetName val="תבל "/>
      <sheetName val="החברה לפיתוח "/>
      <sheetName val="הנדסה "/>
    </sheetNames>
    <sheetDataSet>
      <sheetData sheetId="0"/>
      <sheetData sheetId="1"/>
      <sheetData sheetId="2">
        <row r="11">
          <cell r="BC11">
            <v>2500000</v>
          </cell>
        </row>
      </sheetData>
      <sheetData sheetId="3"/>
      <sheetData sheetId="4">
        <row r="19">
          <cell r="BC19">
            <v>2080006</v>
          </cell>
        </row>
      </sheetData>
      <sheetData sheetId="5"/>
      <sheetData sheetId="6">
        <row r="27">
          <cell r="BC27">
            <v>1100000</v>
          </cell>
        </row>
      </sheetData>
      <sheetData sheetId="7">
        <row r="43">
          <cell r="BC43">
            <v>150000</v>
          </cell>
        </row>
      </sheetData>
      <sheetData sheetId="8">
        <row r="12">
          <cell r="BC12">
            <v>450000</v>
          </cell>
        </row>
      </sheetData>
      <sheetData sheetId="9">
        <row r="85">
          <cell r="BC85">
            <v>3601120</v>
          </cell>
        </row>
        <row r="86">
          <cell r="BC86">
            <v>1550000</v>
          </cell>
        </row>
      </sheetData>
      <sheetData sheetId="10">
        <row r="57">
          <cell r="BF57">
            <v>0</v>
          </cell>
        </row>
      </sheetData>
      <sheetData sheetId="11">
        <row r="209">
          <cell r="BG209">
            <v>1300000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1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1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1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15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rightToLeft="1" tabSelected="1" topLeftCell="A4" workbookViewId="0">
      <selection activeCell="N21" sqref="N21"/>
    </sheetView>
  </sheetViews>
  <sheetFormatPr defaultColWidth="9.109375" defaultRowHeight="13.8" x14ac:dyDescent="0.25"/>
  <cols>
    <col min="1" max="16384" width="9.109375" style="253"/>
  </cols>
  <sheetData>
    <row r="3" spans="1:10" ht="18" x14ac:dyDescent="0.25">
      <c r="A3" s="252" t="s">
        <v>561</v>
      </c>
    </row>
    <row r="4" spans="1:10" ht="18" x14ac:dyDescent="0.25">
      <c r="A4" s="252" t="s">
        <v>562</v>
      </c>
    </row>
    <row r="7" spans="1:10" ht="45.6" x14ac:dyDescent="0.25">
      <c r="A7" s="427" t="s">
        <v>563</v>
      </c>
      <c r="B7" s="427"/>
      <c r="C7" s="427"/>
      <c r="D7" s="427"/>
      <c r="E7" s="427"/>
      <c r="F7" s="427"/>
      <c r="G7" s="427"/>
      <c r="H7" s="427"/>
      <c r="I7" s="427"/>
      <c r="J7" s="427"/>
    </row>
    <row r="8" spans="1:10" ht="45.6" x14ac:dyDescent="0.25">
      <c r="A8" s="427" t="s">
        <v>564</v>
      </c>
      <c r="B8" s="427"/>
      <c r="C8" s="427"/>
      <c r="D8" s="427"/>
      <c r="E8" s="427"/>
      <c r="F8" s="427"/>
      <c r="G8" s="427"/>
      <c r="H8" s="427"/>
      <c r="I8" s="427"/>
      <c r="J8" s="427"/>
    </row>
    <row r="29" spans="8:9" ht="18" x14ac:dyDescent="0.25">
      <c r="H29" s="252" t="s">
        <v>565</v>
      </c>
      <c r="I29" s="252" t="s">
        <v>766</v>
      </c>
    </row>
    <row r="30" spans="8:9" ht="18" x14ac:dyDescent="0.25">
      <c r="H30" s="252"/>
      <c r="I30" s="252" t="s">
        <v>767</v>
      </c>
    </row>
  </sheetData>
  <sheetProtection algorithmName="SHA-512" hashValue="+APcrB9FfOYZaCJJCjGg36wKz0UayAivv/WbcIEr9q0fqzpPwZiQO9tSNGVZlARrTaRaeJ1ASwViMUYmGzUqPw==" saltValue="adsr/Z5QEQV2i3zkrd6uxg==" spinCount="100000" sheet="1" objects="1" scenarios="1"/>
  <mergeCells count="2">
    <mergeCell ref="A7:J7"/>
    <mergeCell ref="A8:J8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4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95" customWidth="1"/>
    <col min="4" max="4" width="33" style="295" customWidth="1"/>
    <col min="5" max="9" width="12.109375" style="295" customWidth="1"/>
    <col min="10" max="10" width="7.88671875" style="295" customWidth="1"/>
    <col min="11" max="16384" width="9.109375" style="295"/>
  </cols>
  <sheetData>
    <row r="3" spans="1:17" ht="21" x14ac:dyDescent="0.25">
      <c r="E3" s="410"/>
    </row>
    <row r="4" spans="1:17" ht="15.6" x14ac:dyDescent="0.25">
      <c r="A4" s="265"/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7" ht="15.6" x14ac:dyDescent="0.25"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1:17" ht="20.100000000000001" customHeight="1" x14ac:dyDescent="0.25">
      <c r="A6" s="265"/>
      <c r="C6" s="294"/>
      <c r="D6" s="411"/>
      <c r="F6" s="296"/>
      <c r="G6" s="296"/>
      <c r="M6" s="265"/>
      <c r="N6" s="265"/>
      <c r="O6" s="265"/>
    </row>
    <row r="7" spans="1:17" ht="20.100000000000001" customHeight="1" x14ac:dyDescent="0.25">
      <c r="A7" s="265"/>
      <c r="C7" s="265"/>
      <c r="D7" s="265"/>
      <c r="F7" s="412"/>
      <c r="G7" s="412"/>
      <c r="M7" s="265"/>
      <c r="N7" s="265"/>
      <c r="O7" s="265"/>
    </row>
    <row r="8" spans="1:17" ht="20.100000000000001" customHeight="1" x14ac:dyDescent="0.25">
      <c r="A8" s="265"/>
      <c r="C8" s="265"/>
      <c r="D8" s="265"/>
      <c r="F8" s="412"/>
      <c r="G8" s="412"/>
      <c r="M8" s="265"/>
      <c r="N8" s="265"/>
      <c r="O8" s="265"/>
    </row>
    <row r="9" spans="1:17" ht="20.100000000000001" customHeight="1" x14ac:dyDescent="0.25">
      <c r="A9" s="265"/>
      <c r="C9" s="265"/>
      <c r="D9" s="265"/>
      <c r="F9" s="412"/>
      <c r="G9" s="412"/>
      <c r="M9" s="265"/>
      <c r="N9" s="265"/>
      <c r="O9" s="265"/>
    </row>
    <row r="10" spans="1:17" ht="20.100000000000001" customHeight="1" x14ac:dyDescent="0.25">
      <c r="A10" s="265"/>
      <c r="C10" s="265"/>
      <c r="D10" s="265"/>
      <c r="F10" s="412"/>
      <c r="G10" s="412"/>
      <c r="M10" s="265"/>
      <c r="N10" s="265"/>
      <c r="O10" s="265"/>
    </row>
    <row r="11" spans="1:17" ht="20.100000000000001" customHeight="1" x14ac:dyDescent="0.25">
      <c r="A11" s="265"/>
      <c r="C11" s="265"/>
      <c r="D11" s="294"/>
      <c r="E11" s="413"/>
      <c r="F11" s="412"/>
      <c r="G11" s="412"/>
      <c r="L11" s="412"/>
      <c r="M11" s="265"/>
      <c r="N11" s="265"/>
      <c r="O11" s="265"/>
    </row>
    <row r="12" spans="1:17" ht="20.100000000000001" customHeight="1" x14ac:dyDescent="0.25">
      <c r="A12" s="265"/>
      <c r="C12" s="265"/>
      <c r="D12" s="265"/>
      <c r="F12" s="412"/>
      <c r="G12" s="412"/>
      <c r="M12" s="265"/>
      <c r="N12" s="265"/>
      <c r="O12" s="265"/>
    </row>
    <row r="13" spans="1:17" ht="20.100000000000001" customHeight="1" x14ac:dyDescent="0.25">
      <c r="A13" s="265"/>
      <c r="C13" s="265"/>
      <c r="D13" s="265"/>
      <c r="F13" s="412"/>
      <c r="G13" s="412"/>
      <c r="M13" s="265"/>
      <c r="N13" s="265"/>
      <c r="O13" s="265"/>
    </row>
    <row r="14" spans="1:17" ht="20.100000000000001" customHeight="1" x14ac:dyDescent="0.25">
      <c r="A14" s="265"/>
      <c r="C14" s="294"/>
      <c r="D14" s="265"/>
      <c r="F14" s="414"/>
      <c r="G14" s="296"/>
      <c r="M14" s="265"/>
      <c r="N14" s="265"/>
      <c r="O14" s="265"/>
    </row>
    <row r="15" spans="1:17" ht="15.6" x14ac:dyDescent="0.25">
      <c r="C15" s="265"/>
      <c r="D15" s="265"/>
      <c r="E15" s="265"/>
      <c r="F15" s="265"/>
      <c r="G15" s="265"/>
      <c r="H15" s="265"/>
      <c r="I15" s="265"/>
      <c r="J15" s="265"/>
      <c r="K15" s="265"/>
      <c r="L15" s="265"/>
    </row>
    <row r="16" spans="1:17" ht="15.6" x14ac:dyDescent="0.25"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</row>
    <row r="17" spans="1:17" ht="15.6" x14ac:dyDescent="0.25"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</row>
    <row r="18" spans="1:17" ht="15.6" x14ac:dyDescent="0.25"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</row>
    <row r="19" spans="1:17" ht="15.6" hidden="1" x14ac:dyDescent="0.25">
      <c r="A19" s="415"/>
      <c r="B19" s="416"/>
    </row>
    <row r="20" spans="1:17" ht="15.6" hidden="1" x14ac:dyDescent="0.25"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</row>
    <row r="21" spans="1:17" ht="22.8" hidden="1" x14ac:dyDescent="0.25">
      <c r="A21" s="265"/>
      <c r="B21" s="265"/>
      <c r="C21" s="265"/>
      <c r="D21" s="265"/>
      <c r="E21" s="265"/>
      <c r="F21" s="265"/>
      <c r="G21" s="265"/>
      <c r="H21" s="265"/>
      <c r="I21" s="417"/>
      <c r="J21" s="265"/>
      <c r="K21" s="265"/>
      <c r="L21" s="265"/>
      <c r="M21" s="265"/>
      <c r="N21" s="265"/>
      <c r="O21" s="265"/>
      <c r="P21" s="265"/>
      <c r="Q21" s="265"/>
    </row>
    <row r="22" spans="1:17" ht="15.6" hidden="1" x14ac:dyDescent="0.25"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</row>
    <row r="23" spans="1:17" ht="15.6" hidden="1" x14ac:dyDescent="0.25"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</row>
    <row r="24" spans="1:17" ht="15.6" hidden="1" x14ac:dyDescent="0.25"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</row>
    <row r="25" spans="1:17" ht="15.6" hidden="1" x14ac:dyDescent="0.25"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</row>
    <row r="26" spans="1:17" ht="15.6" hidden="1" x14ac:dyDescent="0.25"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</row>
    <row r="27" spans="1:17" ht="15.6" hidden="1" x14ac:dyDescent="0.25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</row>
    <row r="28" spans="1:17" ht="15.6" hidden="1" x14ac:dyDescent="0.25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</row>
    <row r="29" spans="1:17" ht="15.6" hidden="1" x14ac:dyDescent="0.25">
      <c r="A29" s="265"/>
      <c r="B29" s="265"/>
      <c r="C29" s="265"/>
      <c r="D29" s="265"/>
      <c r="E29" s="265"/>
      <c r="F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</row>
    <row r="30" spans="1:17" ht="15.6" x14ac:dyDescent="0.25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</row>
    <row r="31" spans="1:17" ht="20.100000000000001" customHeight="1" x14ac:dyDescent="0.25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</row>
    <row r="32" spans="1:17" ht="15.6" x14ac:dyDescent="0.25">
      <c r="A32" s="415"/>
      <c r="B32" s="416"/>
    </row>
    <row r="33" spans="1:17" ht="20.100000000000001" customHeight="1" x14ac:dyDescent="0.25"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</row>
    <row r="34" spans="1:17" ht="20.100000000000001" customHeight="1" x14ac:dyDescent="0.25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</row>
    <row r="35" spans="1:17" ht="20.100000000000001" customHeight="1" x14ac:dyDescent="0.25"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</row>
    <row r="36" spans="1:17" ht="20.100000000000001" customHeight="1" x14ac:dyDescent="0.25"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</row>
    <row r="37" spans="1:17" ht="20.100000000000001" customHeight="1" x14ac:dyDescent="0.25"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</row>
    <row r="38" spans="1:17" ht="20.100000000000001" customHeight="1" x14ac:dyDescent="0.25"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</row>
    <row r="39" spans="1:17" ht="15.6" x14ac:dyDescent="0.25">
      <c r="A39" s="265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</row>
    <row r="40" spans="1:17" ht="15.6" x14ac:dyDescent="0.25">
      <c r="A40" s="265"/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</row>
    <row r="41" spans="1:17" ht="15.6" x14ac:dyDescent="0.25">
      <c r="A41" s="265"/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</row>
    <row r="42" spans="1:17" ht="15.6" x14ac:dyDescent="0.25">
      <c r="A42" s="415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</row>
    <row r="43" spans="1:17" ht="15.6" x14ac:dyDescent="0.25"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</row>
    <row r="44" spans="1:17" ht="15.6" x14ac:dyDescent="0.25"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</row>
  </sheetData>
  <sheetProtection algorithmName="SHA-512" hashValue="VhcifqESprcMQy0inJDv3t/F/9mWVBFgOQITo+YMnBb3mq6uMG+QFG649IXWOH4n6fKR1Z2VdS2hdJNd/U1VEA==" saltValue="3ImcMnSKEbaCF9WtZ45qf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showZeros="0" rightToLeft="1" zoomScaleNormal="100" workbookViewId="0">
      <pane xSplit="1" ySplit="4" topLeftCell="B11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5.6" x14ac:dyDescent="0.3"/>
  <cols>
    <col min="1" max="1" width="22.6640625" style="43" customWidth="1"/>
    <col min="2" max="4" width="12.6640625" style="44" customWidth="1"/>
    <col min="5" max="8" width="12.6640625" style="44" hidden="1" customWidth="1"/>
    <col min="9" max="9" width="11.109375" style="44" hidden="1" customWidth="1"/>
    <col min="10" max="10" width="12.6640625" style="32" customWidth="1"/>
    <col min="11" max="11" width="11.44140625" style="44" customWidth="1"/>
    <col min="12" max="12" width="11.109375" style="44" customWidth="1"/>
    <col min="13" max="13" width="12.5546875" style="44" customWidth="1"/>
    <col min="14" max="14" width="12.6640625" style="32" hidden="1" customWidth="1"/>
    <col min="15" max="17" width="12.109375" style="44" hidden="1" customWidth="1"/>
    <col min="18" max="18" width="11.109375" style="44" customWidth="1"/>
    <col min="19" max="19" width="12.109375" style="44" customWidth="1"/>
    <col min="20" max="20" width="11.88671875" style="44" customWidth="1"/>
    <col min="21" max="21" width="11.33203125" style="44" customWidth="1"/>
    <col min="22" max="22" width="8.33203125" style="44" hidden="1" customWidth="1"/>
    <col min="23" max="23" width="12" style="44" customWidth="1"/>
    <col min="24" max="24" width="13.44140625" style="40" customWidth="1"/>
    <col min="25" max="25" width="11.88671875" style="40" customWidth="1"/>
    <col min="26" max="26" width="10" style="40" customWidth="1"/>
    <col min="27" max="27" width="9.109375" style="40"/>
    <col min="28" max="28" width="10.109375" style="40" customWidth="1"/>
    <col min="29" max="16384" width="9.109375" style="40"/>
  </cols>
  <sheetData>
    <row r="1" spans="1:25" s="22" customFormat="1" ht="22.8" x14ac:dyDescent="0.4">
      <c r="A1" s="432" t="s">
        <v>229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1:25" s="22" customFormat="1" ht="22.8" x14ac:dyDescent="0.4">
      <c r="A2" s="23"/>
      <c r="B2" s="24"/>
      <c r="C2" s="24"/>
      <c r="D2" s="24"/>
      <c r="E2" s="24"/>
      <c r="F2" s="24"/>
      <c r="G2" s="24"/>
      <c r="H2" s="24"/>
      <c r="I2" s="24"/>
      <c r="J2" s="25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</row>
    <row r="3" spans="1:25" s="27" customFormat="1" x14ac:dyDescent="0.3">
      <c r="A3" s="26"/>
      <c r="B3" s="433" t="s">
        <v>230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163"/>
      <c r="Q3" s="163"/>
      <c r="R3" s="433" t="s">
        <v>231</v>
      </c>
      <c r="S3" s="433"/>
      <c r="T3" s="433"/>
      <c r="U3" s="434"/>
      <c r="V3" s="433"/>
      <c r="W3" s="433"/>
    </row>
    <row r="4" spans="1:25" s="29" customFormat="1" ht="68.25" customHeight="1" x14ac:dyDescent="0.25">
      <c r="A4" s="26" t="s">
        <v>232</v>
      </c>
      <c r="B4" s="26" t="s">
        <v>233</v>
      </c>
      <c r="C4" s="26" t="s">
        <v>4</v>
      </c>
      <c r="D4" s="26" t="s">
        <v>234</v>
      </c>
      <c r="E4" s="26" t="s">
        <v>252</v>
      </c>
      <c r="F4" s="4" t="s">
        <v>7</v>
      </c>
      <c r="G4" s="4" t="s">
        <v>8</v>
      </c>
      <c r="H4" s="4" t="s">
        <v>9</v>
      </c>
      <c r="I4" s="4" t="s">
        <v>10</v>
      </c>
      <c r="J4" s="28" t="s">
        <v>11</v>
      </c>
      <c r="K4" s="82" t="s">
        <v>492</v>
      </c>
      <c r="L4" s="26" t="s">
        <v>299</v>
      </c>
      <c r="M4" s="26" t="s">
        <v>300</v>
      </c>
      <c r="N4" s="28" t="s">
        <v>235</v>
      </c>
      <c r="O4" s="4" t="s">
        <v>301</v>
      </c>
      <c r="P4" s="4" t="s">
        <v>302</v>
      </c>
      <c r="Q4" s="4" t="s">
        <v>303</v>
      </c>
      <c r="R4" s="4" t="s">
        <v>304</v>
      </c>
      <c r="S4" s="26" t="s">
        <v>305</v>
      </c>
      <c r="T4" s="154" t="s">
        <v>13</v>
      </c>
      <c r="U4" s="26" t="s">
        <v>14</v>
      </c>
      <c r="V4" s="176" t="s">
        <v>15</v>
      </c>
      <c r="W4" s="26" t="s">
        <v>223</v>
      </c>
      <c r="X4" s="107"/>
    </row>
    <row r="5" spans="1:25" s="322" customFormat="1" ht="24.9" customHeight="1" x14ac:dyDescent="0.25">
      <c r="A5" s="30" t="s">
        <v>236</v>
      </c>
      <c r="B5" s="34">
        <f>'פרוט הנדסה '!D$122</f>
        <v>693014769</v>
      </c>
      <c r="C5" s="34">
        <f>'פרוט הנדסה '!E$122</f>
        <v>596043468</v>
      </c>
      <c r="D5" s="34">
        <f>'פרוט הנדסה '!F$122</f>
        <v>96971301</v>
      </c>
      <c r="E5" s="34">
        <f>'פרוט הנדסה '!G$122</f>
        <v>404262285</v>
      </c>
      <c r="F5" s="34">
        <f>'פרוט הנדסה '!H$122</f>
        <v>325615379.21999997</v>
      </c>
      <c r="G5" s="34">
        <f>'פרוט הנדסה '!I$122</f>
        <v>10485657.759999998</v>
      </c>
      <c r="H5" s="34">
        <f>'פרוט הנדסה '!J$122</f>
        <v>9127528.2300000004</v>
      </c>
      <c r="I5" s="34">
        <f>'פרוט הנדסה '!K$122</f>
        <v>19613185.990000002</v>
      </c>
      <c r="J5" s="34">
        <f>'פרוט הנדסה '!L$122</f>
        <v>345228565.20999992</v>
      </c>
      <c r="K5" s="34">
        <f>'פרוט הנדסה '!M$122</f>
        <v>60905719.790000007</v>
      </c>
      <c r="L5" s="34">
        <f>'פרוט הנדסה '!N$122</f>
        <v>33487931</v>
      </c>
      <c r="M5" s="34">
        <f>'פרוט הנדסה '!O$122</f>
        <v>253392553</v>
      </c>
      <c r="N5" s="34">
        <f>'פרוט הנדסה '!P$122</f>
        <v>59033719.789999999</v>
      </c>
      <c r="O5" s="34">
        <f>'פרוט הנדסה '!Q$122</f>
        <v>7715000</v>
      </c>
      <c r="P5" s="34">
        <f>'פרוט הנדסה '!R$122</f>
        <v>10150000</v>
      </c>
      <c r="Q5" s="34">
        <f>'פרוט הנדסה '!S$122</f>
        <v>17865000</v>
      </c>
      <c r="R5" s="34">
        <f>'פרוט הנדסה '!T$122</f>
        <v>15993000</v>
      </c>
      <c r="S5" s="34">
        <f>'פרוט הנדסה '!U$122</f>
        <v>17494931</v>
      </c>
      <c r="T5" s="34">
        <f>'פרוט הנדסה '!V$122</f>
        <v>-14023000</v>
      </c>
      <c r="U5" s="321">
        <f>'פרוט הנדסה '!W$122</f>
        <v>0</v>
      </c>
      <c r="V5" s="321">
        <f>'פרוט הנדסה '!X$122</f>
        <v>0</v>
      </c>
      <c r="W5" s="34">
        <f>'פרוט הנדסה '!Y$122</f>
        <v>31517931</v>
      </c>
      <c r="X5" s="32"/>
      <c r="Y5" s="32"/>
    </row>
    <row r="6" spans="1:25" s="32" customFormat="1" ht="24.9" customHeight="1" x14ac:dyDescent="0.3">
      <c r="A6" s="30" t="s">
        <v>237</v>
      </c>
      <c r="B6" s="31">
        <f>'פרוט החב. לפיתוח'!D$110</f>
        <v>1849788405</v>
      </c>
      <c r="C6" s="31">
        <f>'פרוט החב. לפיתוח'!E$110</f>
        <v>1457008347</v>
      </c>
      <c r="D6" s="31">
        <f>'פרוט החב. לפיתוח'!F$110</f>
        <v>392780058</v>
      </c>
      <c r="E6" s="31">
        <f>'פרוט החב. לפיתוח'!G$110</f>
        <v>571732958</v>
      </c>
      <c r="F6" s="31">
        <f>'פרוט החב. לפיתוח'!H$110</f>
        <v>419055069.12</v>
      </c>
      <c r="G6" s="31">
        <f>'פרוט החב. לפיתוח'!I$110</f>
        <v>48972870.70000001</v>
      </c>
      <c r="H6" s="31">
        <f>'פרוט החב. לפיתוח'!J$110</f>
        <v>7502690.7400000002</v>
      </c>
      <c r="I6" s="31">
        <f>'פרוט החב. לפיתוח'!K$110</f>
        <v>56475561.439999983</v>
      </c>
      <c r="J6" s="31">
        <f>'פרוט החב. לפיתוח'!L$110</f>
        <v>475530630.56000006</v>
      </c>
      <c r="K6" s="31">
        <f>'פרוט החב. לפיתוח'!M$110</f>
        <v>251630013.43999994</v>
      </c>
      <c r="L6" s="31">
        <f>'פרוט החב. לפיתוח'!N$110</f>
        <v>333402275</v>
      </c>
      <c r="M6" s="31">
        <f>'פרוט החב. לפיתוח'!O$110</f>
        <v>789225486</v>
      </c>
      <c r="N6" s="31">
        <f>'פרוט החב. לפיתוח'!P$110</f>
        <v>96202327.440000027</v>
      </c>
      <c r="O6" s="31">
        <f>'פרוט החב. לפיתוח'!Q$110</f>
        <v>113321145</v>
      </c>
      <c r="P6" s="31">
        <f>'פרוט החב. לפיתוח'!R$110</f>
        <v>43852000</v>
      </c>
      <c r="Q6" s="31">
        <f>'פרוט החב. לפיתוח'!S$110</f>
        <v>157173145</v>
      </c>
      <c r="R6" s="31">
        <f>'פרוט החב. לפיתוח'!T$110</f>
        <v>1745459</v>
      </c>
      <c r="S6" s="31">
        <f>'פרוט החב. לפיתוח'!U$110</f>
        <v>331656816</v>
      </c>
      <c r="T6" s="31">
        <f>'פרוט החב. לפיתוח'!V$110</f>
        <v>137680940.30000001</v>
      </c>
      <c r="U6" s="31">
        <f>'פרוט החב. לפיתוח'!W$110</f>
        <v>6500000</v>
      </c>
      <c r="V6" s="31">
        <f>'פרוט החב. לפיתוח'!X$110</f>
        <v>0</v>
      </c>
      <c r="W6" s="31">
        <f>'פרוט החב. לפיתוח'!Y$110</f>
        <v>187475875.69999999</v>
      </c>
    </row>
    <row r="7" spans="1:25" s="32" customFormat="1" ht="24.9" customHeight="1" x14ac:dyDescent="0.3">
      <c r="A7" s="36" t="s">
        <v>238</v>
      </c>
      <c r="B7" s="31">
        <f>'פרוט תבל'!D$82</f>
        <v>547456840</v>
      </c>
      <c r="C7" s="31">
        <f>'פרוט תבל'!E$82</f>
        <v>578780840</v>
      </c>
      <c r="D7" s="31">
        <f>'פרוט תבל'!F$82</f>
        <v>-31324000</v>
      </c>
      <c r="E7" s="31">
        <f>'פרוט תבל'!G$82</f>
        <v>401930840</v>
      </c>
      <c r="F7" s="31">
        <f>'פרוט תבל'!H$82</f>
        <v>343915745.27999991</v>
      </c>
      <c r="G7" s="31">
        <f>'פרוט תבל'!I$82</f>
        <v>18824039.779999997</v>
      </c>
      <c r="H7" s="31">
        <f>'פרוט תבל'!J$82</f>
        <v>17226281.890000001</v>
      </c>
      <c r="I7" s="31">
        <f>'פרוט תבל'!K$82</f>
        <v>36050321.670000002</v>
      </c>
      <c r="J7" s="31">
        <f>'פרוט תבל'!L$82</f>
        <v>379966066.94999987</v>
      </c>
      <c r="K7" s="31">
        <f>'פרוט תבל'!M$82</f>
        <v>37999773.050000004</v>
      </c>
      <c r="L7" s="31">
        <f>'פרוט תבל'!N$82</f>
        <v>25186000</v>
      </c>
      <c r="M7" s="31">
        <f>'פרוט תבל'!O$82</f>
        <v>104305000</v>
      </c>
      <c r="N7" s="31">
        <f>'פרוט תבל'!P$82</f>
        <v>21964773.050000004</v>
      </c>
      <c r="O7" s="31">
        <f>'פרוט תבל'!Q$82</f>
        <v>2550000</v>
      </c>
      <c r="P7" s="31">
        <f>'פרוט תבל'!R$82</f>
        <v>14652000</v>
      </c>
      <c r="Q7" s="31">
        <f>'פרוט תבל'!S$82</f>
        <v>17202000</v>
      </c>
      <c r="R7" s="31">
        <f>'פרוט תבל'!T$82</f>
        <v>1167000</v>
      </c>
      <c r="S7" s="31">
        <f>'פרוט תבל'!U$82</f>
        <v>24019000</v>
      </c>
      <c r="T7" s="172">
        <f>'פרוט תבל'!V$82</f>
        <v>14320000</v>
      </c>
      <c r="U7" s="31">
        <f>'פרוט תבל'!W$82</f>
        <v>9407000</v>
      </c>
      <c r="V7" s="175">
        <f>'פרוט תבל'!X$82</f>
        <v>0</v>
      </c>
      <c r="W7" s="31">
        <f>'פרוט תבל'!Y$82</f>
        <v>292000</v>
      </c>
      <c r="Y7" s="229"/>
    </row>
    <row r="8" spans="1:25" s="32" customFormat="1" ht="24.9" customHeight="1" x14ac:dyDescent="0.3">
      <c r="A8" s="36" t="s">
        <v>404</v>
      </c>
      <c r="B8" s="31">
        <f>'פרוט בטחון פיקוח '!D$12</f>
        <v>2548500</v>
      </c>
      <c r="C8" s="31">
        <f>'פרוט בטחון פיקוח '!E$12</f>
        <v>1798500</v>
      </c>
      <c r="D8" s="31">
        <f>'פרוט בטחון פיקוח '!F$12</f>
        <v>750000</v>
      </c>
      <c r="E8" s="31">
        <f>'פרוט בטחון פיקוח '!G$12</f>
        <v>500000</v>
      </c>
      <c r="F8" s="31">
        <f>'פרוט בטחון פיקוח '!H$12</f>
        <v>309609.8</v>
      </c>
      <c r="G8" s="31">
        <f>'פרוט בטחון פיקוח '!I$12</f>
        <v>0</v>
      </c>
      <c r="H8" s="31">
        <f>'פרוט בטחון פיקוח '!J$12</f>
        <v>0</v>
      </c>
      <c r="I8" s="31">
        <f>'פרוט בטחון פיקוח '!K$12</f>
        <v>0</v>
      </c>
      <c r="J8" s="31">
        <f>'פרוט בטחון פיקוח '!L$12</f>
        <v>309609.8</v>
      </c>
      <c r="K8" s="31">
        <f>'פרוט בטחון פיקוח '!M$12</f>
        <v>1088890.2</v>
      </c>
      <c r="L8" s="31">
        <f>'פרוט בטחון פיקוח '!N$12</f>
        <v>500000</v>
      </c>
      <c r="M8" s="31">
        <f>'פרוט בטחון פיקוח '!O$12</f>
        <v>650000</v>
      </c>
      <c r="N8" s="31">
        <f>'פרוט בטחון פיקוח '!P$12</f>
        <v>190390.2</v>
      </c>
      <c r="O8" s="31">
        <f>'פרוט בטחון פיקוח '!Q$12</f>
        <v>550000</v>
      </c>
      <c r="P8" s="31">
        <f>'פרוט בטחון פיקוח '!R$12</f>
        <v>348500</v>
      </c>
      <c r="Q8" s="31">
        <f>'פרוט בטחון פיקוח '!S$12</f>
        <v>898500</v>
      </c>
      <c r="R8" s="31">
        <f>'פרוט בטחון פיקוח '!T$12</f>
        <v>0</v>
      </c>
      <c r="S8" s="31">
        <f>'פרוט בטחון פיקוח '!U$12</f>
        <v>500000</v>
      </c>
      <c r="T8" s="172">
        <f>'פרוט בטחון פיקוח '!V$12</f>
        <v>0</v>
      </c>
      <c r="U8" s="31">
        <f>'פרוט בטחון פיקוח '!W$12</f>
        <v>500000</v>
      </c>
      <c r="V8" s="175">
        <f>'פרוט בטחון פיקוח '!X$12</f>
        <v>0</v>
      </c>
      <c r="W8" s="31">
        <f>'פרוט בטחון פיקוח '!Y$12</f>
        <v>0</v>
      </c>
    </row>
    <row r="9" spans="1:25" s="32" customFormat="1" ht="24.9" customHeight="1" x14ac:dyDescent="0.3">
      <c r="A9" s="36" t="s">
        <v>239</v>
      </c>
      <c r="B9" s="31">
        <f>'פרוט חינוך תנוס '!D$45</f>
        <v>17405700</v>
      </c>
      <c r="C9" s="31">
        <f>'פרוט חינוך תנוס '!E$45</f>
        <v>15769000</v>
      </c>
      <c r="D9" s="31">
        <f>'פרוט חינוך תנוס '!F$45</f>
        <v>1636700</v>
      </c>
      <c r="E9" s="31">
        <f>'פרוט חינוך תנוס '!G$45</f>
        <v>11873621</v>
      </c>
      <c r="F9" s="31">
        <f>'פרוט חינוך תנוס '!H$45</f>
        <v>6635514.5299999993</v>
      </c>
      <c r="G9" s="31">
        <f>'פרוט חינוך תנוס '!I$45</f>
        <v>2607485.11</v>
      </c>
      <c r="H9" s="31">
        <f>'פרוט חינוך תנוס '!J$45</f>
        <v>74173.58</v>
      </c>
      <c r="I9" s="31">
        <f>'פרוט חינוך תנוס '!K$45</f>
        <v>2681658.69</v>
      </c>
      <c r="J9" s="31">
        <f>'פרוט חינוך תנוס '!L$45</f>
        <v>9317173.2199999988</v>
      </c>
      <c r="K9" s="31">
        <f>'פרוט חינוך תנוס '!M$45</f>
        <v>4666447.7800000012</v>
      </c>
      <c r="L9" s="31">
        <f>'פרוט חינוך תנוס '!N$45</f>
        <v>2255079</v>
      </c>
      <c r="M9" s="31">
        <f>'פרוט חינוך תנוס '!O$45</f>
        <v>1167000</v>
      </c>
      <c r="N9" s="31">
        <f>'פרוט חינוך תנוס '!P$45</f>
        <v>2556447.7800000007</v>
      </c>
      <c r="O9" s="31">
        <f>'פרוט חינוך תנוס '!Q$45</f>
        <v>460000</v>
      </c>
      <c r="P9" s="31">
        <f>'פרוט חינוך תנוס '!R$45</f>
        <v>1650000</v>
      </c>
      <c r="Q9" s="31">
        <f>'פרוט חינוך תנוס '!S$45</f>
        <v>2110000</v>
      </c>
      <c r="R9" s="31">
        <f>'פרוט חינוך תנוס '!T$45</f>
        <v>0</v>
      </c>
      <c r="S9" s="31">
        <f>'פרוט חינוך תנוס '!U$45</f>
        <v>2255079</v>
      </c>
      <c r="T9" s="172">
        <f>'פרוט חינוך תנוס '!V$45</f>
        <v>0</v>
      </c>
      <c r="U9" s="31">
        <f>'פרוט חינוך תנוס '!W$45</f>
        <v>1745000</v>
      </c>
      <c r="V9" s="175">
        <f>'פרוט חינוך תנוס '!X$45</f>
        <v>0</v>
      </c>
      <c r="W9" s="31">
        <f>'פרוט חינוך תנוס '!Y$45</f>
        <v>510079</v>
      </c>
    </row>
    <row r="10" spans="1:25" s="32" customFormat="1" ht="24.9" customHeight="1" x14ac:dyDescent="0.3">
      <c r="A10" s="36" t="s">
        <v>240</v>
      </c>
      <c r="B10" s="31">
        <f>'פרוט שאיפה '!D$28</f>
        <v>121760000</v>
      </c>
      <c r="C10" s="31">
        <f>'פרוט שאיפה '!E$28</f>
        <v>93922000</v>
      </c>
      <c r="D10" s="31">
        <f>'פרוט שאיפה '!F$28</f>
        <v>27838000</v>
      </c>
      <c r="E10" s="31">
        <f>'פרוט שאיפה '!G$28</f>
        <v>74690000</v>
      </c>
      <c r="F10" s="31">
        <f>'פרוט שאיפה '!H$28</f>
        <v>66801642.750000007</v>
      </c>
      <c r="G10" s="31">
        <f>'פרוט שאיפה '!I$28</f>
        <v>6438280.0999999987</v>
      </c>
      <c r="H10" s="31">
        <f>'פרוט שאיפה '!J$28</f>
        <v>0</v>
      </c>
      <c r="I10" s="31">
        <f>'פרוט שאיפה '!K$28</f>
        <v>6438280.0999999987</v>
      </c>
      <c r="J10" s="31">
        <f>'פרוט שאיפה '!L$28</f>
        <v>73239922.849999994</v>
      </c>
      <c r="K10" s="31">
        <f>'פרוט שאיפה '!M$28</f>
        <v>3170077.1500000018</v>
      </c>
      <c r="L10" s="31">
        <f>'פרוט שאיפה '!N$28</f>
        <v>14614320</v>
      </c>
      <c r="M10" s="31">
        <f>'פרוט שאיפה '!O$28</f>
        <v>30735680</v>
      </c>
      <c r="N10" s="31">
        <f>'פרוט שאיפה '!P$28</f>
        <v>1450077.1500000015</v>
      </c>
      <c r="O10" s="31">
        <f>'פרוט שאיפה '!Q$28</f>
        <v>1550000</v>
      </c>
      <c r="P10" s="31">
        <f>'פרוט שאיפה '!R$28</f>
        <v>170000</v>
      </c>
      <c r="Q10" s="31">
        <f>'פרוט שאיפה '!S$28</f>
        <v>1720000</v>
      </c>
      <c r="R10" s="31">
        <f>'פרוט שאיפה '!T$28</f>
        <v>0</v>
      </c>
      <c r="S10" s="31">
        <f>'פרוט שאיפה '!U$28</f>
        <v>14614320</v>
      </c>
      <c r="T10" s="172">
        <f>'פרוט שאיפה '!V$28</f>
        <v>9820000</v>
      </c>
      <c r="U10" s="31">
        <f>'פרוט שאיפה '!W$28</f>
        <v>4720000</v>
      </c>
      <c r="V10" s="175">
        <f>'פרוט שאיפה '!X$28</f>
        <v>0</v>
      </c>
      <c r="W10" s="31">
        <f>'פרוט שאיפה '!Y$28</f>
        <v>74320</v>
      </c>
    </row>
    <row r="11" spans="1:25" s="32" customFormat="1" ht="24.9" customHeight="1" x14ac:dyDescent="0.25">
      <c r="A11" s="36" t="s">
        <v>241</v>
      </c>
      <c r="B11" s="37">
        <f>'פרוט שאיפה '!D$54</f>
        <v>11175529</v>
      </c>
      <c r="C11" s="37">
        <f>'פרוט שאיפה '!E$54</f>
        <v>11875529</v>
      </c>
      <c r="D11" s="37">
        <f>'פרוט שאיפה '!F$54</f>
        <v>-700000</v>
      </c>
      <c r="E11" s="37">
        <f>'פרוט שאיפה '!G$54</f>
        <v>7495529</v>
      </c>
      <c r="F11" s="37">
        <f>'פרוט שאיפה '!H$54</f>
        <v>5216430.3999999994</v>
      </c>
      <c r="G11" s="37">
        <f>'פרוט שאיפה '!I$54</f>
        <v>1587767.57</v>
      </c>
      <c r="H11" s="37">
        <f>'פרוט שאיפה '!J$54</f>
        <v>0.2</v>
      </c>
      <c r="I11" s="37">
        <f>'פרוט שאיפה '!K$54</f>
        <v>1587767.77</v>
      </c>
      <c r="J11" s="37">
        <f>'פרוט שאיפה '!L$54</f>
        <v>6804198.169999999</v>
      </c>
      <c r="K11" s="37">
        <f>'פרוט שאיפה '!M$54</f>
        <v>691330.83000000007</v>
      </c>
      <c r="L11" s="37">
        <f>'פרוט שאיפה '!N$54</f>
        <v>1650000</v>
      </c>
      <c r="M11" s="37">
        <f>'פרוט שאיפה '!O$54</f>
        <v>2030000</v>
      </c>
      <c r="N11" s="37">
        <f>'פרוט שאיפה '!P$54</f>
        <v>691330.83000000007</v>
      </c>
      <c r="O11" s="37">
        <f>'פרוט שאיפה '!Q$54</f>
        <v>0</v>
      </c>
      <c r="P11" s="37">
        <f>'פרוט שאיפה '!R$54</f>
        <v>0</v>
      </c>
      <c r="Q11" s="37">
        <f>'פרוט שאיפה '!S$54</f>
        <v>0</v>
      </c>
      <c r="R11" s="37">
        <f>'פרוט שאיפה '!T$54</f>
        <v>0</v>
      </c>
      <c r="S11" s="37">
        <f>'פרוט שאיפה '!U$54</f>
        <v>1650000</v>
      </c>
      <c r="T11" s="173">
        <f>'פרוט שאיפה '!V$54</f>
        <v>0</v>
      </c>
      <c r="U11" s="37">
        <f>'פרוט שאיפה '!W$54</f>
        <v>1650000</v>
      </c>
      <c r="V11" s="153">
        <f>'פרוט שאיפה '!X$54</f>
        <v>0</v>
      </c>
      <c r="W11" s="37">
        <f>'פרוט שאיפה '!Y$54</f>
        <v>0</v>
      </c>
    </row>
    <row r="12" spans="1:25" s="32" customFormat="1" ht="24.9" customHeight="1" x14ac:dyDescent="0.25">
      <c r="A12" s="36" t="s">
        <v>242</v>
      </c>
      <c r="B12" s="37">
        <f>'פרוט שאיפה '!D$67</f>
        <v>10966559</v>
      </c>
      <c r="C12" s="37">
        <f>'פרוט שאיפה '!E$67</f>
        <v>11576559</v>
      </c>
      <c r="D12" s="37">
        <f>'פרוט שאיפה '!F$67</f>
        <v>-610000</v>
      </c>
      <c r="E12" s="37">
        <f>'פרוט שאיפה '!G$67</f>
        <v>9051500</v>
      </c>
      <c r="F12" s="37">
        <f>'פרוט שאיפה '!H$67</f>
        <v>4887708.7</v>
      </c>
      <c r="G12" s="37">
        <f>'פרוט שאיפה '!I$67</f>
        <v>345108.7</v>
      </c>
      <c r="H12" s="37">
        <f>'פרוט שאיפה '!J$67</f>
        <v>0</v>
      </c>
      <c r="I12" s="37">
        <f>'פרוט שאיפה '!K$67</f>
        <v>345108.7</v>
      </c>
      <c r="J12" s="37">
        <f>'פרוט שאיפה '!L$67</f>
        <v>5232817.3999999994</v>
      </c>
      <c r="K12" s="37">
        <f>'פרוט שאיפה '!M$67</f>
        <v>494682.59999999992</v>
      </c>
      <c r="L12" s="37">
        <f>'פרוט שאיפה '!N$67</f>
        <v>496059</v>
      </c>
      <c r="M12" s="37">
        <f>'פרוט שאיפה '!O$67</f>
        <v>4743000</v>
      </c>
      <c r="N12" s="37">
        <f>'פרוט שאיפה '!P$67</f>
        <v>3818682.5999999996</v>
      </c>
      <c r="O12" s="37">
        <f>'פרוט שאיפה '!Q$67</f>
        <v>25000</v>
      </c>
      <c r="P12" s="37">
        <f>'פרוט שאיפה '!R$67</f>
        <v>0</v>
      </c>
      <c r="Q12" s="37">
        <f>'פרוט שאיפה '!S$67</f>
        <v>25000</v>
      </c>
      <c r="R12" s="37">
        <f>'פרוט שאיפה '!T$67</f>
        <v>3349000</v>
      </c>
      <c r="S12" s="37">
        <f>'פרוט שאיפה '!U$67</f>
        <v>-2852941</v>
      </c>
      <c r="T12" s="173">
        <f>'פרוט שאיפה '!V$67</f>
        <v>-3149000</v>
      </c>
      <c r="U12" s="37">
        <f>'פרוט שאיפה '!W$67</f>
        <v>200000</v>
      </c>
      <c r="V12" s="153">
        <f>'פרוט שאיפה '!X$67</f>
        <v>0</v>
      </c>
      <c r="W12" s="37">
        <f>'פרוט שאיפה '!Y$67</f>
        <v>96059</v>
      </c>
    </row>
    <row r="13" spans="1:25" s="32" customFormat="1" ht="24.9" customHeight="1" x14ac:dyDescent="0.25">
      <c r="A13" s="36" t="s">
        <v>243</v>
      </c>
      <c r="B13" s="37">
        <f>'פרוט הח. לתיירות'!D$20</f>
        <v>21580000</v>
      </c>
      <c r="C13" s="37">
        <f>'פרוט הח. לתיירות'!E$20</f>
        <v>18319960</v>
      </c>
      <c r="D13" s="37">
        <f>'פרוט הח. לתיירות'!F$20</f>
        <v>3260040</v>
      </c>
      <c r="E13" s="37">
        <f>'פרוט הח. לתיירות'!G$20</f>
        <v>5714960</v>
      </c>
      <c r="F13" s="37">
        <f>'פרוט הח. לתיירות'!H$20</f>
        <v>4581665.78</v>
      </c>
      <c r="G13" s="37">
        <f>'פרוט הח. לתיירות'!I$20</f>
        <v>0</v>
      </c>
      <c r="H13" s="37">
        <f>'פרוט הח. לתיירות'!J$20</f>
        <v>0</v>
      </c>
      <c r="I13" s="37">
        <f>'פרוט הח. לתיירות'!K$20</f>
        <v>0</v>
      </c>
      <c r="J13" s="37">
        <f>'פרוט הח. לתיירות'!L$20</f>
        <v>4581665.78</v>
      </c>
      <c r="K13" s="37">
        <f>'פרוט הח. לתיירות'!M$20</f>
        <v>4383294.2200000007</v>
      </c>
      <c r="L13" s="37">
        <f>'פרוט הח. לתיירות'!N$20</f>
        <v>10175040</v>
      </c>
      <c r="M13" s="37">
        <f>'פרוט הח. לתיירות'!O$20</f>
        <v>2440000</v>
      </c>
      <c r="N13" s="37">
        <f>'פרוט הח. לתיירות'!P$20</f>
        <v>1133294.2200000002</v>
      </c>
      <c r="O13" s="37">
        <f>'פרוט הח. לתיירות'!Q$20</f>
        <v>200000</v>
      </c>
      <c r="P13" s="37">
        <f>'פרוט הח. לתיירות'!R$20</f>
        <v>3050000</v>
      </c>
      <c r="Q13" s="37">
        <f>'פרוט הח. לתיירות'!S$20</f>
        <v>3250000</v>
      </c>
      <c r="R13" s="37">
        <f>'פרוט הח. לתיירות'!T$20</f>
        <v>0</v>
      </c>
      <c r="S13" s="37">
        <f>'פרוט הח. לתיירות'!U$20</f>
        <v>10175040</v>
      </c>
      <c r="T13" s="173">
        <f>'פרוט הח. לתיירות'!V$20</f>
        <v>5210000</v>
      </c>
      <c r="U13" s="37">
        <f>'פרוט הח. לתיירות'!W$20</f>
        <v>65040</v>
      </c>
      <c r="V13" s="153">
        <f>'פרוט הח. לתיירות'!X$20</f>
        <v>0</v>
      </c>
      <c r="W13" s="37">
        <f>'פרוט הח. לתיירות'!Y$20</f>
        <v>4900000</v>
      </c>
      <c r="Y13" s="229"/>
    </row>
    <row r="14" spans="1:25" s="32" customFormat="1" ht="24.9" customHeight="1" x14ac:dyDescent="0.25">
      <c r="A14" s="36" t="s">
        <v>244</v>
      </c>
      <c r="B14" s="37">
        <f>'פרוט מחשוב '!D$17</f>
        <v>37923842</v>
      </c>
      <c r="C14" s="37">
        <f>'פרוט מחשוב '!E$17</f>
        <v>36323842</v>
      </c>
      <c r="D14" s="37">
        <f>'פרוט מחשוב '!F$17</f>
        <v>1600000</v>
      </c>
      <c r="E14" s="37">
        <f>'פרוט מחשוב '!G$17</f>
        <v>12963842</v>
      </c>
      <c r="F14" s="37">
        <f>'פרוט מחשוב '!H$17</f>
        <v>12011098.16</v>
      </c>
      <c r="G14" s="37">
        <f>'פרוט מחשוב '!I$17</f>
        <v>239762.62</v>
      </c>
      <c r="H14" s="37">
        <f>'פרוט מחשוב '!J$17</f>
        <v>487200</v>
      </c>
      <c r="I14" s="37">
        <f>'פרוט מחשוב '!K$17</f>
        <v>726962.62</v>
      </c>
      <c r="J14" s="37">
        <f>'פרוט מחשוב '!L$17</f>
        <v>12738060.780000001</v>
      </c>
      <c r="K14" s="37">
        <f>'פרוט מחשוב '!M$17</f>
        <v>4073780.9800000004</v>
      </c>
      <c r="L14" s="37">
        <f>'פרוט מחשוב '!N$17</f>
        <v>4750000</v>
      </c>
      <c r="M14" s="37">
        <f>'פרוט מחשוב '!O$17</f>
        <v>16362000.24</v>
      </c>
      <c r="N14" s="37">
        <f>'פרוט מחשוב '!P$17</f>
        <v>225781.2200000005</v>
      </c>
      <c r="O14" s="37">
        <f>'פרוט מחשוב '!Q$17</f>
        <v>2650000</v>
      </c>
      <c r="P14" s="37">
        <f>'פרוט מחשוב '!R$17</f>
        <v>1250000</v>
      </c>
      <c r="Q14" s="37">
        <f>'פרוט מחשוב '!S$17</f>
        <v>3900000</v>
      </c>
      <c r="R14" s="37">
        <f>'פרוט מחשוב '!T$17</f>
        <v>52000.239999999991</v>
      </c>
      <c r="S14" s="37">
        <f>'פרוט מחשוב '!U$17</f>
        <v>4697999.76</v>
      </c>
      <c r="T14" s="37">
        <f>'פרוט מחשוב '!V$17</f>
        <v>2500000</v>
      </c>
      <c r="U14" s="37">
        <f>'פרוט מחשוב '!W$17</f>
        <v>2197999.7599999998</v>
      </c>
      <c r="V14" s="37">
        <f>'פרוט מחשוב '!X$17</f>
        <v>0</v>
      </c>
      <c r="W14" s="37">
        <f>'פרוט מחשוב '!Y$17</f>
        <v>0</v>
      </c>
    </row>
    <row r="15" spans="1:25" s="32" customFormat="1" ht="24.9" customHeight="1" x14ac:dyDescent="0.25">
      <c r="A15" s="36" t="s">
        <v>245</v>
      </c>
      <c r="B15" s="37">
        <f>'פרוט נכסים'!D$23</f>
        <v>161539700</v>
      </c>
      <c r="C15" s="37">
        <f>'פרוט נכסים'!E$23</f>
        <v>159519700</v>
      </c>
      <c r="D15" s="37">
        <f>'פרוט נכסים'!F$23</f>
        <v>2020000</v>
      </c>
      <c r="E15" s="37">
        <f>'פרוט נכסים'!G$23</f>
        <v>95872525</v>
      </c>
      <c r="F15" s="37">
        <f>'פרוט נכסים'!H$23</f>
        <v>73604299.710000008</v>
      </c>
      <c r="G15" s="37">
        <f>'פרוט נכסים'!I$23</f>
        <v>6107</v>
      </c>
      <c r="H15" s="37">
        <f>'פרוט נכסים'!J$23</f>
        <v>0</v>
      </c>
      <c r="I15" s="37">
        <f>'פרוט נכסים'!K$23</f>
        <v>6107</v>
      </c>
      <c r="J15" s="37">
        <f>'פרוט נכסים'!L$23</f>
        <v>73610406.710000008</v>
      </c>
      <c r="K15" s="37">
        <f>'פרוט נכסים'!M$23</f>
        <v>22262118.289999999</v>
      </c>
      <c r="L15" s="37">
        <f>'פרוט נכסים'!N$23</f>
        <v>2645000</v>
      </c>
      <c r="M15" s="37">
        <f>'פרוט נכסים'!O$23</f>
        <v>63022175</v>
      </c>
      <c r="N15" s="37">
        <f>'פרוט נכסים'!P$23</f>
        <v>22262118.289999999</v>
      </c>
      <c r="O15" s="37">
        <f>'פרוט נכסים'!Q$23</f>
        <v>0</v>
      </c>
      <c r="P15" s="37">
        <f>'פרוט נכסים'!R$23</f>
        <v>0</v>
      </c>
      <c r="Q15" s="37">
        <f>'פרוט נכסים'!S$23</f>
        <v>0</v>
      </c>
      <c r="R15" s="37">
        <f>'פרוט נכסים'!T$23</f>
        <v>0</v>
      </c>
      <c r="S15" s="37">
        <f>'פרוט נכסים'!U$23</f>
        <v>2645000</v>
      </c>
      <c r="T15" s="173">
        <f>'פרוט נכסים'!V$23</f>
        <v>2645000</v>
      </c>
      <c r="U15" s="37">
        <f>'פרוט נכסים'!W$23</f>
        <v>0</v>
      </c>
      <c r="V15" s="153">
        <f>'פרוט נכסים'!X$23</f>
        <v>0</v>
      </c>
      <c r="W15" s="37">
        <f>'פרוט נכסים'!Y$23</f>
        <v>0</v>
      </c>
    </row>
    <row r="16" spans="1:25" s="32" customFormat="1" ht="24.9" customHeight="1" x14ac:dyDescent="0.25">
      <c r="A16" s="36" t="s">
        <v>246</v>
      </c>
      <c r="B16" s="37">
        <f>'פרוט שיפוצי בתים עמידר '!D$9</f>
        <v>78490000</v>
      </c>
      <c r="C16" s="37">
        <f>'פרוט שיפוצי בתים עמידר '!E$9</f>
        <v>80500000</v>
      </c>
      <c r="D16" s="37">
        <f>'פרוט שיפוצי בתים עמידר '!F$9</f>
        <v>-2010000</v>
      </c>
      <c r="E16" s="37">
        <f>'פרוט שיפוצי בתים עמידר '!G$9</f>
        <v>55290000</v>
      </c>
      <c r="F16" s="37">
        <f>'פרוט שיפוצי בתים עמידר '!H$9</f>
        <v>54081757.43</v>
      </c>
      <c r="G16" s="37">
        <f>'פרוט שיפוצי בתים עמידר '!I$9</f>
        <v>0</v>
      </c>
      <c r="H16" s="37">
        <f>'פרוט שיפוצי בתים עמידר '!J$9</f>
        <v>0</v>
      </c>
      <c r="I16" s="37">
        <f>'פרוט שיפוצי בתים עמידר '!K$9</f>
        <v>0</v>
      </c>
      <c r="J16" s="37">
        <f>'פרוט שיפוצי בתים עמידר '!L$9</f>
        <v>54081757.43</v>
      </c>
      <c r="K16" s="37">
        <f>'פרוט שיפוצי בתים עמידר '!M$9</f>
        <v>4608242.57</v>
      </c>
      <c r="L16" s="37">
        <f>'פרוט שיפוצי בתים עמידר '!N$9</f>
        <v>11550000</v>
      </c>
      <c r="M16" s="37">
        <f>'פרוט שיפוצי בתים עמידר '!O$9</f>
        <v>8250000</v>
      </c>
      <c r="N16" s="37">
        <f>'פרוט שיפוצי בתים עמידר '!P$9</f>
        <v>1208242.57</v>
      </c>
      <c r="O16" s="37">
        <f>'פרוט שיפוצי בתים עמידר '!Q$9</f>
        <v>3400000</v>
      </c>
      <c r="P16" s="37">
        <f>'פרוט שיפוצי בתים עמידר '!R$9</f>
        <v>0</v>
      </c>
      <c r="Q16" s="37">
        <f>'פרוט שיפוצי בתים עמידר '!S$9</f>
        <v>3400000</v>
      </c>
      <c r="R16" s="37">
        <f>'פרוט שיפוצי בתים עמידר '!T$9</f>
        <v>0</v>
      </c>
      <c r="S16" s="37">
        <f>'פרוט שיפוצי בתים עמידר '!U$9</f>
        <v>11550000</v>
      </c>
      <c r="T16" s="173">
        <f>'פרוט שיפוצי בתים עמידר '!V$9</f>
        <v>50000</v>
      </c>
      <c r="U16" s="37">
        <f>'פרוט שיפוצי בתים עמידר '!W$9</f>
        <v>0</v>
      </c>
      <c r="V16" s="153">
        <f>'פרוט שיפוצי בתים עמידר '!X$9</f>
        <v>0</v>
      </c>
      <c r="W16" s="37">
        <f>'פרוט שיפוצי בתים עמידר '!Y$9</f>
        <v>11500000</v>
      </c>
    </row>
    <row r="17" spans="1:25" s="32" customFormat="1" ht="24.9" customHeight="1" x14ac:dyDescent="0.25">
      <c r="A17" s="36" t="s">
        <v>247</v>
      </c>
      <c r="B17" s="37">
        <f>'פרוט כללי '!D$20</f>
        <v>162984020</v>
      </c>
      <c r="C17" s="37">
        <f>'פרוט כללי '!E$20</f>
        <v>158206000</v>
      </c>
      <c r="D17" s="37">
        <f>'פרוט כללי '!F$20</f>
        <v>4778020</v>
      </c>
      <c r="E17" s="37">
        <f>'פרוט כללי '!G$20</f>
        <v>86313000</v>
      </c>
      <c r="F17" s="37">
        <f>'פרוט כללי '!H$20</f>
        <v>75354902.549999997</v>
      </c>
      <c r="G17" s="37">
        <f>'פרוט כללי '!I$20</f>
        <v>4572028.6399999997</v>
      </c>
      <c r="H17" s="37">
        <f>'פרוט כללי '!J$20</f>
        <v>784729.09</v>
      </c>
      <c r="I17" s="37">
        <f>'פרוט כללי '!K$20</f>
        <v>5356757.7299999995</v>
      </c>
      <c r="J17" s="37">
        <f>'פרוט כללי '!L$20</f>
        <v>80711660.280000001</v>
      </c>
      <c r="K17" s="37">
        <f>'פרוט כללי '!M$20</f>
        <v>12572359.720000001</v>
      </c>
      <c r="L17" s="37">
        <f>'פרוט כללי '!N$20</f>
        <v>16750000</v>
      </c>
      <c r="M17" s="37">
        <f>'פרוט כללי '!O$20</f>
        <v>52950000</v>
      </c>
      <c r="N17" s="37">
        <f>'פרוט כללי '!P$20</f>
        <v>5601339.7200000007</v>
      </c>
      <c r="O17" s="37">
        <f>'פרוט כללי '!Q$20</f>
        <v>350000</v>
      </c>
      <c r="P17" s="37">
        <f>'פרוט כללי '!R$20</f>
        <v>7155000</v>
      </c>
      <c r="Q17" s="37">
        <f>'פרוט כללי '!S$20</f>
        <v>7505000</v>
      </c>
      <c r="R17" s="37">
        <f>'פרוט כללי '!T$20</f>
        <v>533980</v>
      </c>
      <c r="S17" s="37">
        <f>'פרוט כללי '!U$20</f>
        <v>16216020</v>
      </c>
      <c r="T17" s="173">
        <f>'פרוט כללי '!V$20</f>
        <v>8201060</v>
      </c>
      <c r="U17" s="37">
        <f>'פרוט כללי '!W$20</f>
        <v>8014960</v>
      </c>
      <c r="V17" s="153">
        <f>'פרוט כללי '!X$20</f>
        <v>0</v>
      </c>
      <c r="W17" s="37">
        <f>'פרוט כללי '!Y$20</f>
        <v>0</v>
      </c>
    </row>
    <row r="18" spans="1:25" s="39" customFormat="1" ht="24.9" customHeight="1" x14ac:dyDescent="0.3">
      <c r="A18" s="30" t="s">
        <v>248</v>
      </c>
      <c r="B18" s="38">
        <f t="shared" ref="B18:W18" si="0">SUM(B5:B17)</f>
        <v>3716633864</v>
      </c>
      <c r="C18" s="38">
        <f t="shared" si="0"/>
        <v>3219643745</v>
      </c>
      <c r="D18" s="38">
        <f t="shared" si="0"/>
        <v>496990119</v>
      </c>
      <c r="E18" s="38">
        <f t="shared" si="0"/>
        <v>1737691060</v>
      </c>
      <c r="F18" s="38">
        <f t="shared" si="0"/>
        <v>1392070823.4300001</v>
      </c>
      <c r="G18" s="38">
        <f t="shared" si="0"/>
        <v>94079107.980000004</v>
      </c>
      <c r="H18" s="38">
        <f t="shared" si="0"/>
        <v>35202603.730000004</v>
      </c>
      <c r="I18" s="38">
        <f t="shared" si="0"/>
        <v>129281711.70999998</v>
      </c>
      <c r="J18" s="38">
        <f t="shared" si="0"/>
        <v>1521352535.1399999</v>
      </c>
      <c r="K18" s="38">
        <f t="shared" si="0"/>
        <v>408546730.62000006</v>
      </c>
      <c r="L18" s="38">
        <f t="shared" si="0"/>
        <v>457461704</v>
      </c>
      <c r="M18" s="38">
        <f t="shared" si="0"/>
        <v>1329272894.24</v>
      </c>
      <c r="N18" s="38">
        <f t="shared" si="0"/>
        <v>216338524.86000001</v>
      </c>
      <c r="O18" s="38">
        <f t="shared" si="0"/>
        <v>132771145</v>
      </c>
      <c r="P18" s="38">
        <f t="shared" si="0"/>
        <v>82277500</v>
      </c>
      <c r="Q18" s="38">
        <f t="shared" si="0"/>
        <v>215048645</v>
      </c>
      <c r="R18" s="38">
        <f t="shared" si="0"/>
        <v>22840439.239999998</v>
      </c>
      <c r="S18" s="38">
        <f t="shared" si="0"/>
        <v>434621264.75999999</v>
      </c>
      <c r="T18" s="38">
        <f t="shared" si="0"/>
        <v>163255000.30000001</v>
      </c>
      <c r="U18" s="38">
        <f t="shared" si="0"/>
        <v>34999999.759999998</v>
      </c>
      <c r="V18" s="38">
        <f t="shared" si="0"/>
        <v>0</v>
      </c>
      <c r="W18" s="38">
        <f t="shared" si="0"/>
        <v>236366264.69999999</v>
      </c>
      <c r="Y18" s="230"/>
    </row>
    <row r="19" spans="1:25" s="32" customFormat="1" x14ac:dyDescent="0.3">
      <c r="A19" s="33"/>
      <c r="B19" s="31"/>
      <c r="C19" s="31"/>
      <c r="D19" s="34"/>
      <c r="E19" s="31"/>
      <c r="F19" s="31"/>
      <c r="G19" s="31"/>
      <c r="H19" s="31"/>
      <c r="I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171"/>
      <c r="U19" s="34"/>
      <c r="V19" s="177"/>
      <c r="W19" s="34"/>
    </row>
    <row r="20" spans="1:25" s="32" customFormat="1" hidden="1" x14ac:dyDescent="0.3">
      <c r="A20" s="40"/>
      <c r="B20" s="41"/>
      <c r="C20" s="41"/>
      <c r="D20" s="42"/>
      <c r="E20" s="41"/>
      <c r="F20" s="41"/>
      <c r="G20" s="41"/>
      <c r="H20" s="41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5" hidden="1" x14ac:dyDescent="0.3">
      <c r="M21" s="45"/>
      <c r="N21" s="46"/>
      <c r="O21" s="45"/>
      <c r="P21" s="52"/>
      <c r="Q21" s="52"/>
      <c r="R21" s="46"/>
      <c r="S21" s="47" t="s">
        <v>248</v>
      </c>
      <c r="T21" s="47" t="s">
        <v>222</v>
      </c>
      <c r="U21" s="47" t="s">
        <v>249</v>
      </c>
      <c r="V21" s="47" t="s">
        <v>15</v>
      </c>
      <c r="W21" s="47" t="s">
        <v>223</v>
      </c>
    </row>
    <row r="22" spans="1:25" hidden="1" x14ac:dyDescent="0.3">
      <c r="M22" s="47" t="s">
        <v>250</v>
      </c>
      <c r="N22" s="48"/>
      <c r="O22" s="47" t="s">
        <v>250</v>
      </c>
      <c r="P22" s="53"/>
      <c r="Q22" s="53"/>
      <c r="R22" s="49"/>
      <c r="S22" s="50">
        <f>SUM(T22:W22)</f>
        <v>434621265</v>
      </c>
      <c r="T22" s="50">
        <f>'תקציב 2017 קרנות הרשות'!C19*1000</f>
        <v>163255000</v>
      </c>
      <c r="U22" s="50">
        <f>'תקציב 2017 קרנות הרשות'!D19*1000</f>
        <v>35000000</v>
      </c>
      <c r="V22" s="50"/>
      <c r="W22" s="50">
        <f>'פרוט מקורות אחרים'!$Q$16</f>
        <v>236366265</v>
      </c>
    </row>
    <row r="23" spans="1:25" hidden="1" x14ac:dyDescent="0.3">
      <c r="M23" s="47" t="s">
        <v>251</v>
      </c>
      <c r="N23" s="48"/>
      <c r="O23" s="47" t="s">
        <v>251</v>
      </c>
      <c r="P23" s="53"/>
      <c r="Q23" s="53"/>
      <c r="R23" s="49"/>
      <c r="S23" s="50">
        <f>S22-S18</f>
        <v>0.24000000953674316</v>
      </c>
      <c r="T23" s="50">
        <f>T22-T18</f>
        <v>-0.30000001192092896</v>
      </c>
      <c r="U23" s="50">
        <f>U22-U18</f>
        <v>0.24000000208616257</v>
      </c>
      <c r="V23" s="50">
        <f>V22-V18</f>
        <v>0</v>
      </c>
      <c r="W23" s="50">
        <f>W22-W18</f>
        <v>0.30000001192092896</v>
      </c>
      <c r="Y23" s="41"/>
    </row>
    <row r="24" spans="1:25" x14ac:dyDescent="0.3">
      <c r="M24" s="193"/>
      <c r="O24" s="193"/>
      <c r="P24" s="193"/>
      <c r="Q24" s="193"/>
      <c r="R24" s="32"/>
      <c r="S24" s="51"/>
      <c r="T24" s="51"/>
      <c r="U24" s="51"/>
      <c r="V24" s="51"/>
      <c r="W24" s="51"/>
    </row>
    <row r="25" spans="1:25" x14ac:dyDescent="0.3">
      <c r="M25" s="193"/>
      <c r="O25" s="193"/>
      <c r="P25" s="193"/>
      <c r="Q25" s="193"/>
      <c r="R25" s="51"/>
      <c r="S25" s="51"/>
      <c r="T25" s="51"/>
      <c r="U25" s="51"/>
      <c r="V25" s="51"/>
      <c r="W25" s="51"/>
    </row>
    <row r="26" spans="1:25" x14ac:dyDescent="0.3">
      <c r="M26" s="193"/>
      <c r="O26" s="193"/>
      <c r="P26" s="193"/>
      <c r="Q26" s="193"/>
      <c r="R26" s="32"/>
      <c r="S26" s="51"/>
      <c r="T26" s="51"/>
      <c r="U26" s="51"/>
      <c r="V26" s="51"/>
      <c r="W26" s="51"/>
    </row>
    <row r="27" spans="1:25" hidden="1" x14ac:dyDescent="0.3">
      <c r="M27" s="193"/>
      <c r="O27" s="193"/>
      <c r="P27" s="193"/>
      <c r="Q27" s="193"/>
      <c r="R27" s="32"/>
      <c r="S27" s="51"/>
      <c r="T27" s="51"/>
      <c r="U27" s="51"/>
      <c r="V27" s="51"/>
      <c r="W27" s="51"/>
    </row>
    <row r="28" spans="1:25" hidden="1" x14ac:dyDescent="0.3">
      <c r="M28" s="193"/>
      <c r="O28" s="193"/>
      <c r="P28" s="193"/>
      <c r="Q28" s="193"/>
      <c r="R28" s="32"/>
      <c r="S28" s="51"/>
      <c r="T28" s="51"/>
      <c r="U28" s="51"/>
      <c r="V28" s="51"/>
      <c r="W28" s="51"/>
    </row>
    <row r="29" spans="1:25" hidden="1" x14ac:dyDescent="0.3">
      <c r="R29" s="207"/>
    </row>
    <row r="30" spans="1:25" hidden="1" x14ac:dyDescent="0.3">
      <c r="K30" s="207"/>
      <c r="R30" s="207"/>
      <c r="S30" s="207"/>
      <c r="U30" s="207"/>
    </row>
    <row r="31" spans="1:25" hidden="1" x14ac:dyDescent="0.3">
      <c r="I31" s="44" t="s">
        <v>678</v>
      </c>
      <c r="J31" s="323">
        <f>I18+F18</f>
        <v>1521352535.1400001</v>
      </c>
      <c r="R31" s="207"/>
      <c r="S31" s="207"/>
      <c r="U31" s="207"/>
    </row>
    <row r="32" spans="1:25" hidden="1" x14ac:dyDescent="0.3">
      <c r="R32" s="207"/>
      <c r="U32" s="207"/>
    </row>
    <row r="33" spans="9:21" hidden="1" x14ac:dyDescent="0.3">
      <c r="I33" s="44" t="s">
        <v>678</v>
      </c>
      <c r="J33" s="323">
        <f>E18-J18</f>
        <v>216338524.86000013</v>
      </c>
      <c r="R33" s="207"/>
    </row>
    <row r="34" spans="9:21" hidden="1" x14ac:dyDescent="0.3">
      <c r="R34" s="207"/>
    </row>
    <row r="35" spans="9:21" hidden="1" x14ac:dyDescent="0.3">
      <c r="I35" s="44" t="s">
        <v>678</v>
      </c>
      <c r="J35" s="323">
        <f>N18+Q18-R18</f>
        <v>408546730.62</v>
      </c>
      <c r="R35" s="207"/>
    </row>
    <row r="36" spans="9:21" hidden="1" x14ac:dyDescent="0.3"/>
    <row r="37" spans="9:21" hidden="1" x14ac:dyDescent="0.3">
      <c r="I37" s="44" t="s">
        <v>678</v>
      </c>
      <c r="J37" s="323">
        <f>L18-R18</f>
        <v>434621264.75999999</v>
      </c>
      <c r="U37" s="207"/>
    </row>
    <row r="38" spans="9:21" hidden="1" x14ac:dyDescent="0.3">
      <c r="U38" s="207"/>
    </row>
    <row r="39" spans="9:21" hidden="1" x14ac:dyDescent="0.3">
      <c r="U39" s="207"/>
    </row>
  </sheetData>
  <sheetProtection algorithmName="SHA-512" hashValue="U6wZjpUCy0DqXDKbUitZHJtK2dDSZcTdIrSIPxrnAsCTW2JfcSeWUdw0vNL72rLQKkv8Qs+ZdHjDZxJ/fKoTpQ==" saltValue="OLejo6J0kBhWpr37VVf5zw==" spinCount="100000" sheet="1" formatCells="0" formatColumns="0" formatRows="0" insertColumns="0" insertRows="0" insertHyperlinks="0" deleteColumns="0" deleteRows="0" sort="0" autoFilter="0" pivotTables="0"/>
  <mergeCells count="4">
    <mergeCell ref="A1:W1"/>
    <mergeCell ref="B3:M3"/>
    <mergeCell ref="N3:O3"/>
    <mergeCell ref="R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E28" sqref="E28"/>
    </sheetView>
  </sheetViews>
  <sheetFormatPr defaultRowHeight="13.2" x14ac:dyDescent="0.25"/>
  <sheetData/>
  <sheetProtection algorithmName="SHA-512" hashValue="Sav4A9VrkQD2pdi+3ArwAyvNOb9B+GH2SdpNds3QyzI8NAQ95uI/JA8qPH/4FV7T82IDH04vJy/Eyuyb+HSKdw==" saltValue="7ggXc3pi8W9HnnPDF7kAP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showZeros="0" rightToLeft="1" zoomScaleNormal="100" workbookViewId="0">
      <pane xSplit="1" ySplit="4" topLeftCell="B14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5.6" x14ac:dyDescent="0.3"/>
  <cols>
    <col min="1" max="1" width="21" style="43" customWidth="1"/>
    <col min="2" max="4" width="12.6640625" style="44" customWidth="1"/>
    <col min="5" max="8" width="12.6640625" style="44" hidden="1" customWidth="1"/>
    <col min="9" max="9" width="11.109375" style="44" hidden="1" customWidth="1"/>
    <col min="10" max="10" width="12.6640625" style="32" customWidth="1"/>
    <col min="11" max="11" width="11.44140625" style="44" customWidth="1"/>
    <col min="12" max="12" width="11.109375" style="44" customWidth="1"/>
    <col min="13" max="13" width="12.5546875" style="44" customWidth="1"/>
    <col min="14" max="14" width="12.6640625" style="32" hidden="1" customWidth="1"/>
    <col min="15" max="17" width="12.109375" style="44" hidden="1" customWidth="1"/>
    <col min="18" max="18" width="11.109375" style="44" customWidth="1"/>
    <col min="19" max="19" width="12.109375" style="44" customWidth="1"/>
    <col min="20" max="20" width="11.88671875" style="44" customWidth="1"/>
    <col min="21" max="21" width="11.33203125" style="44" customWidth="1"/>
    <col min="22" max="22" width="8.33203125" style="44" hidden="1" customWidth="1"/>
    <col min="23" max="23" width="12" style="44" customWidth="1"/>
    <col min="24" max="24" width="13.44140625" style="40" customWidth="1"/>
    <col min="25" max="25" width="11.88671875" style="40" customWidth="1"/>
    <col min="26" max="26" width="10" style="40" customWidth="1"/>
    <col min="27" max="27" width="9.109375" style="40"/>
    <col min="28" max="28" width="10.109375" style="40" customWidth="1"/>
    <col min="29" max="16384" width="9.109375" style="40"/>
  </cols>
  <sheetData>
    <row r="1" spans="1:25" s="22" customFormat="1" ht="22.8" x14ac:dyDescent="0.4">
      <c r="A1" s="432" t="s">
        <v>570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1:25" s="22" customFormat="1" ht="14.25" customHeight="1" x14ac:dyDescent="0.4">
      <c r="A2" s="23"/>
      <c r="B2" s="24"/>
      <c r="C2" s="24"/>
      <c r="D2" s="24"/>
      <c r="E2" s="24"/>
      <c r="F2" s="24"/>
      <c r="G2" s="24"/>
      <c r="H2" s="24"/>
      <c r="I2" s="24"/>
      <c r="J2" s="25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</row>
    <row r="3" spans="1:25" s="27" customFormat="1" x14ac:dyDescent="0.3">
      <c r="A3" s="26"/>
      <c r="B3" s="433" t="s">
        <v>230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250"/>
      <c r="Q3" s="250"/>
      <c r="R3" s="433" t="s">
        <v>231</v>
      </c>
      <c r="S3" s="433"/>
      <c r="T3" s="433"/>
      <c r="U3" s="434"/>
      <c r="V3" s="433"/>
      <c r="W3" s="433"/>
    </row>
    <row r="4" spans="1:25" s="29" customFormat="1" ht="62.4" x14ac:dyDescent="0.25">
      <c r="A4" s="26" t="s">
        <v>761</v>
      </c>
      <c r="B4" s="26" t="s">
        <v>233</v>
      </c>
      <c r="C4" s="26" t="s">
        <v>4</v>
      </c>
      <c r="D4" s="26" t="s">
        <v>234</v>
      </c>
      <c r="E4" s="26" t="s">
        <v>252</v>
      </c>
      <c r="F4" s="4" t="s">
        <v>7</v>
      </c>
      <c r="G4" s="4" t="s">
        <v>8</v>
      </c>
      <c r="H4" s="4" t="s">
        <v>9</v>
      </c>
      <c r="I4" s="4" t="s">
        <v>10</v>
      </c>
      <c r="J4" s="28" t="s">
        <v>11</v>
      </c>
      <c r="K4" s="82" t="s">
        <v>492</v>
      </c>
      <c r="L4" s="26" t="s">
        <v>299</v>
      </c>
      <c r="M4" s="26" t="s">
        <v>300</v>
      </c>
      <c r="N4" s="28" t="s">
        <v>235</v>
      </c>
      <c r="O4" s="4" t="s">
        <v>301</v>
      </c>
      <c r="P4" s="4" t="s">
        <v>302</v>
      </c>
      <c r="Q4" s="4" t="s">
        <v>303</v>
      </c>
      <c r="R4" s="4" t="s">
        <v>304</v>
      </c>
      <c r="S4" s="26" t="s">
        <v>305</v>
      </c>
      <c r="T4" s="154" t="s">
        <v>13</v>
      </c>
      <c r="U4" s="26" t="s">
        <v>14</v>
      </c>
      <c r="V4" s="176" t="s">
        <v>15</v>
      </c>
      <c r="W4" s="26" t="s">
        <v>223</v>
      </c>
      <c r="X4" s="107"/>
    </row>
    <row r="5" spans="1:25" s="29" customFormat="1" x14ac:dyDescent="0.25">
      <c r="A5" s="26"/>
      <c r="B5" s="26"/>
      <c r="C5" s="26"/>
      <c r="D5" s="26"/>
      <c r="E5" s="26"/>
      <c r="F5" s="4"/>
      <c r="G5" s="4"/>
      <c r="H5" s="4"/>
      <c r="I5" s="4"/>
      <c r="J5" s="28"/>
      <c r="K5" s="26"/>
      <c r="L5" s="26"/>
      <c r="M5" s="26"/>
      <c r="N5" s="28"/>
      <c r="O5" s="4"/>
      <c r="P5" s="4"/>
      <c r="Q5" s="4"/>
      <c r="R5" s="4"/>
      <c r="S5" s="26"/>
      <c r="T5" s="154"/>
      <c r="U5" s="26"/>
      <c r="V5" s="176"/>
      <c r="W5" s="26"/>
    </row>
    <row r="6" spans="1:25" s="322" customFormat="1" ht="24.9" customHeight="1" x14ac:dyDescent="0.25">
      <c r="A6" s="30" t="s">
        <v>622</v>
      </c>
      <c r="B6" s="34">
        <f>' מחשוב  פרקים'!D$9+'כללי  פרקים'!D$9</f>
        <v>8940000</v>
      </c>
      <c r="C6" s="34">
        <f>' מחשוב  פרקים'!E$9+'כללי  פרקים'!E$9</f>
        <v>8940000</v>
      </c>
      <c r="D6" s="34">
        <f>' מחשוב  פרקים'!F$9+'כללי  פרקים'!F$9</f>
        <v>0</v>
      </c>
      <c r="E6" s="34">
        <f>' מחשוב  פרקים'!G$9+'כללי  פרקים'!G$9</f>
        <v>2580000</v>
      </c>
      <c r="F6" s="34">
        <f>' מחשוב  פרקים'!H$9+'כללי  פרקים'!H$9</f>
        <v>1978244</v>
      </c>
      <c r="G6" s="34">
        <f>' מחשוב  פרקים'!I$9+'כללי  פרקים'!I$9</f>
        <v>15987</v>
      </c>
      <c r="H6" s="34">
        <f>' מחשוב  פרקים'!J$9+'כללי  פרקים'!J$9</f>
        <v>487200</v>
      </c>
      <c r="I6" s="34">
        <f>' מחשוב  פרקים'!K$9+'כללי  פרקים'!K$9</f>
        <v>503187</v>
      </c>
      <c r="J6" s="34">
        <f>' מחשוב  פרקים'!L$9+'כללי  פרקים'!L$9</f>
        <v>2481431</v>
      </c>
      <c r="K6" s="34">
        <f>' מחשוב  פרקים'!M$9+'כללי  פרקים'!M$9</f>
        <v>86569</v>
      </c>
      <c r="L6" s="34">
        <f>' מחשוב  פרקים'!N$9+'כללי  פרקים'!N$9</f>
        <v>300000</v>
      </c>
      <c r="M6" s="34">
        <f>' מחשוב  פרקים'!O$9+'כללי  פרקים'!O$9</f>
        <v>6072000</v>
      </c>
      <c r="N6" s="34">
        <f>' מחשוב  פרקים'!P$9+'כללי  פרקים'!P$9</f>
        <v>98569</v>
      </c>
      <c r="O6" s="34">
        <f>' מחשוב  פרקים'!Q$9+'כללי  פרקים'!Q$9</f>
        <v>0</v>
      </c>
      <c r="P6" s="34">
        <f>' מחשוב  פרקים'!R$9+'כללי  פרקים'!R$9</f>
        <v>0</v>
      </c>
      <c r="Q6" s="34">
        <f>' מחשוב  פרקים'!S$9+'כללי  פרקים'!S$9</f>
        <v>0</v>
      </c>
      <c r="R6" s="34">
        <f>' מחשוב  פרקים'!T$9+'כללי  פרקים'!T$9</f>
        <v>12000</v>
      </c>
      <c r="S6" s="34">
        <f>' מחשוב  פרקים'!U$9+'כללי  פרקים'!U$9</f>
        <v>288000</v>
      </c>
      <c r="T6" s="34">
        <f>' מחשוב  פרקים'!V$9+'כללי  פרקים'!V$9</f>
        <v>0</v>
      </c>
      <c r="U6" s="34">
        <f>' מחשוב  פרקים'!W$9+'כללי  פרקים'!W$9</f>
        <v>288000</v>
      </c>
      <c r="V6" s="34">
        <f>' מחשוב  פרקים'!X$9+'כללי  פרקים'!X$9</f>
        <v>0</v>
      </c>
      <c r="W6" s="34">
        <f>' מחשוב  פרקים'!Y$9+'כללי  פרקים'!Y$9</f>
        <v>0</v>
      </c>
      <c r="X6" s="32"/>
      <c r="Y6" s="32">
        <f>'פרוט הנדסה '!AA$122</f>
        <v>0</v>
      </c>
    </row>
    <row r="7" spans="1:25" s="32" customFormat="1" ht="24.9" customHeight="1" x14ac:dyDescent="0.3">
      <c r="A7" s="30" t="s">
        <v>762</v>
      </c>
      <c r="B7" s="31">
        <f>'הנדסה פרקים'!D$57+'החברה לפיתוח פרקים'!D$18+'תבל  פרקים'!D$12+'החברה לתיירות פרקים'!D$16+'כללי  פרקים'!D$12</f>
        <v>220515795</v>
      </c>
      <c r="C7" s="31">
        <f>'הנדסה פרקים'!E$57+'החברה לפיתוח פרקים'!E$18+'תבל  פרקים'!E$12+'החברה לתיירות פרקים'!E$16+'כללי  פרקים'!E$12</f>
        <v>212818540</v>
      </c>
      <c r="D7" s="31">
        <f>'הנדסה פרקים'!F$57+'החברה לפיתוח פרקים'!F$18+'תבל  פרקים'!F$12+'החברה לתיירות פרקים'!F$16+'כללי  פרקים'!F$12</f>
        <v>7697255</v>
      </c>
      <c r="E7" s="31">
        <f>'הנדסה פרקים'!G$57+'החברה לפיתוח פרקים'!G$18+'תבל  פרקים'!G$12+'החברה לתיירות פרקים'!G$16+'כללי  פרקים'!G$12</f>
        <v>126280676</v>
      </c>
      <c r="F7" s="31">
        <f>'הנדסה פרקים'!H$57+'החברה לפיתוח פרקים'!H$18+'תבל  פרקים'!H$12+'החברה לתיירות פרקים'!H$16+'כללי  פרקים'!H$12</f>
        <v>97002109.400000006</v>
      </c>
      <c r="G7" s="31">
        <f>'הנדסה פרקים'!I$57+'החברה לפיתוח פרקים'!I$18+'תבל  פרקים'!I$12+'החברה לתיירות פרקים'!I$16+'כללי  פרקים'!I$12</f>
        <v>7927535.6600000001</v>
      </c>
      <c r="H7" s="31">
        <f>'הנדסה פרקים'!J$57+'החברה לפיתוח פרקים'!J$18+'תבל  פרקים'!J$12+'החברה לתיירות פרקים'!J$16+'כללי  פרקים'!J$12</f>
        <v>3944448.1999999997</v>
      </c>
      <c r="I7" s="31">
        <f>'הנדסה פרקים'!K$57+'החברה לפיתוח פרקים'!K$18+'תבל  פרקים'!K$12+'החברה לתיירות פרקים'!K$16+'כללי  פרקים'!K$12</f>
        <v>11871983.860000001</v>
      </c>
      <c r="J7" s="31">
        <f>'הנדסה פרקים'!L$57+'החברה לפיתוח פרקים'!L$18+'תבל  פרקים'!L$12+'החברה לתיירות פרקים'!L$16+'כללי  פרקים'!L$12</f>
        <v>108874093.26000001</v>
      </c>
      <c r="K7" s="31">
        <f>'הנדסה פרקים'!M$57+'החברה לפיתוח פרקים'!M$18+'תבל  פרקים'!M$12+'החברה לתיירות פרקים'!M$16+'כללי  פרקים'!M$12</f>
        <v>33042582.740000002</v>
      </c>
      <c r="L7" s="31">
        <f>'הנדסה פרקים'!N$57+'החברה לפיתוח פרקים'!N$18+'תבל  פרקים'!N$12+'החברה לתיירות פרקים'!N$16+'כללי  פרקים'!N$12</f>
        <v>24672795</v>
      </c>
      <c r="M7" s="31">
        <f>'הנדסה פרקים'!O$57+'החברה לפיתוח פרקים'!O$18+'תבל  פרקים'!O$12+'החברה לתיירות פרקים'!O$16+'כללי  פרקים'!O$12</f>
        <v>53926324</v>
      </c>
      <c r="N7" s="31">
        <f>'הנדסה פרקים'!P$57+'החברה לפיתוח פרקים'!P$18+'תבל  פרקים'!P$12+'החברה לתיירות פרקים'!P$16+'כללי  פרקים'!P$12</f>
        <v>17406582.740000002</v>
      </c>
      <c r="O7" s="31">
        <f>'הנדסה פרקים'!Q$57+'החברה לפיתוח פרקים'!Q$18+'תבל  פרקים'!Q$12+'החברה לתיירות פרקים'!Q$16+'כללי  פרקים'!Q$12</f>
        <v>8675000</v>
      </c>
      <c r="P7" s="31">
        <f>'הנדסה פרקים'!R$57+'החברה לפיתוח פרקים'!R$18+'תבל  פרקים'!R$12+'החברה לתיירות פרקים'!R$16+'כללי  פרקים'!R$12</f>
        <v>9911000</v>
      </c>
      <c r="Q7" s="31">
        <f>'הנדסה פרקים'!S$57+'החברה לפיתוח פרקים'!S$18+'תבל  פרקים'!S$12+'החברה לתיירות פרקים'!S$16+'כללי  פרקים'!S$12</f>
        <v>18586000</v>
      </c>
      <c r="R7" s="31">
        <f>'הנדסה פרקים'!T$57+'החברה לפיתוח פרקים'!T$18+'תבל  פרקים'!T$12+'החברה לתיירות פרקים'!T$16+'כללי  פרקים'!T$12</f>
        <v>2950000</v>
      </c>
      <c r="S7" s="31">
        <f>'הנדסה פרקים'!U$57+'החברה לפיתוח פרקים'!U$18+'תבל  פרקים'!U$12+'החברה לתיירות פרקים'!U$16+'כללי  פרקים'!U$12</f>
        <v>21722795</v>
      </c>
      <c r="T7" s="31">
        <f>'הנדסה פרקים'!V$57+'החברה לפיתוח פרקים'!V$18+'תבל  פרקים'!V$12+'החברה לתיירות פרקים'!V$16+'כללי  פרקים'!V$12</f>
        <v>6640000</v>
      </c>
      <c r="U7" s="31">
        <f>'הנדסה פרקים'!W$57+'החברה לפיתוח פרקים'!W$18+'תבל  פרקים'!W$12+'החברה לתיירות פרקים'!W$16+'כללי  פרקים'!W$12</f>
        <v>0</v>
      </c>
      <c r="V7" s="31">
        <f>'הנדסה פרקים'!X$57+'החברה לפיתוח פרקים'!X$18+'תבל  פרקים'!X$12+'החברה לתיירות פרקים'!X$16+'כללי  פרקים'!X$12</f>
        <v>0</v>
      </c>
      <c r="W7" s="31">
        <f>'הנדסה פרקים'!Y$57+'החברה לפיתוח פרקים'!Y$18+'תבל  פרקים'!Y$12+'החברה לתיירות פרקים'!Y$16+'כללי  פרקים'!Y$12</f>
        <v>15082795</v>
      </c>
    </row>
    <row r="8" spans="1:25" s="32" customFormat="1" ht="24.9" customHeight="1" x14ac:dyDescent="0.3">
      <c r="A8" s="36" t="s">
        <v>617</v>
      </c>
      <c r="B8" s="31">
        <f>'הנדסה פרקים'!D$105+'החברה לפיתוח פרקים'!D$63+'תבל  פרקים'!D$26+'שאיפה  פרקים'!D$27+'שאיפה  פרקים'!D$73+'החברה לתיירות פרקים'!D$25+'כללי  פרקים'!D$19</f>
        <v>1713866948</v>
      </c>
      <c r="C8" s="31">
        <f>'הנדסה פרקים'!E$105+'החברה לפיתוח פרקים'!E$63+'תבל  פרקים'!E$26+'שאיפה  פרקים'!E$27+'שאיפה  פרקים'!E$73+'החברה לתיירות פרקים'!E$25+'כללי  פרקים'!E$19</f>
        <v>1531296784</v>
      </c>
      <c r="D8" s="31">
        <f>'הנדסה פרקים'!F$105+'החברה לפיתוח פרקים'!F$63+'תבל  פרקים'!F$26+'שאיפה  פרקים'!F$27+'שאיפה  פרקים'!F$73+'החברה לתיירות פרקים'!F$25+'כללי  פרקים'!F$19</f>
        <v>182570164</v>
      </c>
      <c r="E8" s="31">
        <f>'הנדסה פרקים'!G$105+'החברה לפיתוח פרקים'!G$63+'תבל  פרקים'!G$26+'שאיפה  פרקים'!G$27+'שאיפה  פרקים'!G$73+'החברה לתיירות פרקים'!G$25+'כללי  פרקים'!G$19</f>
        <v>745644769</v>
      </c>
      <c r="F8" s="31">
        <f>'הנדסה פרקים'!H$105+'החברה לפיתוח פרקים'!H$63+'תבל  פרקים'!H$26+'שאיפה  פרקים'!H$27+'שאיפה  פרקים'!H$73+'החברה לתיירות פרקים'!H$25+'כללי  פרקים'!H$19</f>
        <v>600759972.90999997</v>
      </c>
      <c r="G8" s="31">
        <f>'הנדסה פרקים'!I$105+'החברה לפיתוח פרקים'!I$63+'תבל  פרקים'!I$26+'שאיפה  פרקים'!I$27+'שאיפה  פרקים'!I$73+'החברה לתיירות פרקים'!I$25+'כללי  פרקים'!I$19</f>
        <v>45936334.170000002</v>
      </c>
      <c r="H8" s="31">
        <f>'הנדסה פרקים'!J$105+'החברה לפיתוח פרקים'!J$63+'תבל  פרקים'!J$26+'שאיפה  פרקים'!J$27+'שאיפה  פרקים'!J$73+'החברה לתיירות פרקים'!J$25+'כללי  פרקים'!J$19</f>
        <v>8634875.209999999</v>
      </c>
      <c r="I8" s="31">
        <f>'הנדסה פרקים'!K$105+'החברה לפיתוח פרקים'!K$63+'תבל  פרקים'!K$26+'שאיפה  פרקים'!K$27+'שאיפה  פרקים'!K$73+'החברה לתיירות פרקים'!K$25+'כללי  פרקים'!K$19</f>
        <v>54571209.379999995</v>
      </c>
      <c r="J8" s="31">
        <f>'הנדסה פרקים'!L$105+'החברה לפיתוח פרקים'!L$63+'תבל  פרקים'!L$26+'שאיפה  פרקים'!L$27+'שאיפה  פרקים'!L$73+'החברה לתיירות פרקים'!L$25+'כללי  פרקים'!L$19</f>
        <v>655331182.28999996</v>
      </c>
      <c r="K8" s="31">
        <f>'הנדסה פרקים'!M$105+'החברה לפיתוח פרקים'!M$63+'תבל  פרקים'!M$26+'שאיפה  פרקים'!M$27+'שאיפה  פרקים'!M$73+'החברה לתיירות פרקים'!M$25+'כללי  פרקים'!M$19</f>
        <v>179339965.70999998</v>
      </c>
      <c r="L8" s="31">
        <f>'הנדסה פרקים'!N$105+'החברה לפיתוח פרקים'!N$63+'תבל  פרקים'!N$26+'שאיפה  פרקים'!N$27+'שאיפה  פרקים'!N$73+'החברה לתיירות פרקים'!N$25+'כללי  פרקים'!N$19</f>
        <v>277983571</v>
      </c>
      <c r="M8" s="31">
        <f>'הנדסה פרקים'!O$105+'החברה לפיתוח פרקים'!O$63+'תבל  פרקים'!O$26+'שאיפה  פרקים'!O$27+'שאיפה  פרקים'!O$73+'החברה לתיירות פרקים'!O$25+'כללי  פרקים'!O$19</f>
        <v>601212229</v>
      </c>
      <c r="N8" s="31">
        <f>'הנדסה פרקים'!P$105+'החברה לפיתוח פרקים'!P$63+'תבל  פרקים'!P$26+'שאיפה  פרקים'!P$27+'שאיפה  פרקים'!P$73+'החברה לתיירות פרקים'!P$25+'כללי  פרקים'!P$19</f>
        <v>90313586.710000008</v>
      </c>
      <c r="O8" s="31">
        <f>'הנדסה פרקים'!Q$105+'החברה לפיתוח פרקים'!Q$63+'תבל  פרקים'!Q$26+'שאיפה  פרקים'!Q$27+'שאיפה  פרקים'!Q$73+'החברה לתיירות פרקים'!Q$25+'כללי  פרקים'!Q$19</f>
        <v>75852556</v>
      </c>
      <c r="P8" s="31">
        <f>'הנדסה פרקים'!R$105+'החברה לפיתוח פרקים'!R$63+'תבל  פרקים'!R$26+'שאיפה  פרקים'!R$27+'שאיפה  פרקים'!R$73+'החברה לתיירות פרקים'!R$25+'כללי  פרקים'!R$19</f>
        <v>29216000</v>
      </c>
      <c r="Q8" s="31">
        <f>'הנדסה פרקים'!S$105+'החברה לפיתוח פרקים'!S$63+'תבל  פרקים'!S$26+'שאיפה  פרקים'!S$27+'שאיפה  פרקים'!S$73+'החברה לתיירות פרקים'!S$25+'כללי  פרקים'!S$19</f>
        <v>105068556</v>
      </c>
      <c r="R8" s="31">
        <f>'הנדסה פרקים'!T$105+'החברה לפיתוח פרקים'!T$63+'תבל  פרקים'!T$26+'שאיפה  פרקים'!T$27+'שאיפה  פרקים'!T$73+'החברה לתיירות פרקים'!T$25+'כללי  פרקים'!T$19</f>
        <v>16042177</v>
      </c>
      <c r="S8" s="31">
        <f>'הנדסה פרקים'!U$105+'החברה לפיתוח פרקים'!U$63+'תבל  פרקים'!U$26+'שאיפה  פרקים'!U$27+'שאיפה  פרקים'!U$73+'החברה לתיירות פרקים'!U$25+'כללי  פרקים'!U$19</f>
        <v>261941394</v>
      </c>
      <c r="T8" s="31">
        <f>'הנדסה פרקים'!V$105+'החברה לפיתוח פרקים'!V$63+'תבל  פרקים'!V$26+'שאיפה  פרקים'!V$27+'שאיפה  פרקים'!V$73+'החברה לתיירות פרקים'!V$25+'כללי  פרקים'!V$19</f>
        <v>96643118</v>
      </c>
      <c r="U8" s="31">
        <f>'הנדסה פרקים'!W$105+'החברה לפיתוח פרקים'!W$63+'תבל  פרקים'!W$26+'שאיפה  פרקים'!W$27+'שאיפה  פרקים'!W$73+'החברה לתיירות פרקים'!W$25+'כללי  פרקים'!W$19</f>
        <v>9230000</v>
      </c>
      <c r="V8" s="31">
        <f>'הנדסה פרקים'!X$105+'החברה לפיתוח פרקים'!X$63+'תבל  פרקים'!X$26+'שאיפה  פרקים'!X$27+'שאיפה  פרקים'!X$73+'החברה לתיירות פרקים'!X$25+'כללי  פרקים'!X$19</f>
        <v>0</v>
      </c>
      <c r="W8" s="31">
        <f>'הנדסה פרקים'!Y$105+'החברה לפיתוח פרקים'!Y$63+'תבל  פרקים'!Y$26+'שאיפה  פרקים'!Y$27+'שאיפה  פרקים'!Y$73+'החברה לתיירות פרקים'!Y$25+'כללי  פרקים'!Y$19</f>
        <v>156068276</v>
      </c>
      <c r="Y8" s="229"/>
    </row>
    <row r="9" spans="1:25" s="32" customFormat="1" ht="24.9" customHeight="1" x14ac:dyDescent="0.3">
      <c r="A9" s="36" t="s">
        <v>225</v>
      </c>
      <c r="B9" s="31">
        <f>'החברה לתיירות פרקים'!D$28+'שאיפה  פרקים'!D$68</f>
        <v>11575529</v>
      </c>
      <c r="C9" s="31">
        <f>'החברה לתיירות פרקים'!E$28+'שאיפה  פרקים'!E$68</f>
        <v>12175529</v>
      </c>
      <c r="D9" s="31">
        <f>'החברה לתיירות פרקים'!F$28+'שאיפה  פרקים'!F$68</f>
        <v>-600000</v>
      </c>
      <c r="E9" s="31">
        <f>'החברה לתיירות פרקים'!G$28+'שאיפה  פרקים'!G$68</f>
        <v>7495529</v>
      </c>
      <c r="F9" s="31">
        <f>'החברה לתיירות פרקים'!H$28+'שאיפה  פרקים'!H$68</f>
        <v>5216430.3999999994</v>
      </c>
      <c r="G9" s="31">
        <f>'החברה לתיירות פרקים'!I$28+'שאיפה  פרקים'!I$68</f>
        <v>1587767.57</v>
      </c>
      <c r="H9" s="31">
        <f>'החברה לתיירות פרקים'!J$28+'שאיפה  פרקים'!J$68</f>
        <v>0.2</v>
      </c>
      <c r="I9" s="31">
        <f>'החברה לתיירות פרקים'!K$28+'שאיפה  פרקים'!K$68</f>
        <v>1587767.77</v>
      </c>
      <c r="J9" s="31">
        <f>'החברה לתיירות פרקים'!L$28+'שאיפה  פרקים'!L$68</f>
        <v>6804198.169999999</v>
      </c>
      <c r="K9" s="31">
        <f>'החברה לתיירות פרקים'!M$28+'שאיפה  פרקים'!M$68</f>
        <v>991330.83000000007</v>
      </c>
      <c r="L9" s="31">
        <f>'החברה לתיירות פרקים'!N$28+'שאיפה  פרקים'!N$68</f>
        <v>1750000</v>
      </c>
      <c r="M9" s="31">
        <f>'החברה לתיירות פרקים'!O$28+'שאיפה  פרקים'!O$68</f>
        <v>2030000</v>
      </c>
      <c r="N9" s="31">
        <f>'החברה לתיירות פרקים'!P$28+'שאיפה  פרקים'!P$68</f>
        <v>691330.83000000007</v>
      </c>
      <c r="O9" s="31">
        <f>'החברה לתיירות פרקים'!Q$28+'שאיפה  פרקים'!Q$68</f>
        <v>0</v>
      </c>
      <c r="P9" s="31">
        <f>'החברה לתיירות פרקים'!R$28+'שאיפה  פרקים'!R$68</f>
        <v>300000</v>
      </c>
      <c r="Q9" s="31">
        <f>'החברה לתיירות פרקים'!S$28+'שאיפה  פרקים'!S$68</f>
        <v>300000</v>
      </c>
      <c r="R9" s="31">
        <f>'החברה לתיירות פרקים'!T$28+'שאיפה  פרקים'!T$68</f>
        <v>0</v>
      </c>
      <c r="S9" s="31">
        <f>'החברה לתיירות פרקים'!U$28+'שאיפה  פרקים'!U$68</f>
        <v>1750000</v>
      </c>
      <c r="T9" s="31">
        <f>'החברה לתיירות פרקים'!V$28+'שאיפה  פרקים'!V$68</f>
        <v>100000</v>
      </c>
      <c r="U9" s="31">
        <f>'החברה לתיירות פרקים'!W$28+'שאיפה  פרקים'!W$68</f>
        <v>1650000</v>
      </c>
      <c r="V9" s="31">
        <f>'החברה לתיירות פרקים'!X$28+'שאיפה  פרקים'!X$68</f>
        <v>0</v>
      </c>
      <c r="W9" s="31">
        <f>'החברה לתיירות פרקים'!Y$28+'שאיפה  פרקים'!Y$68</f>
        <v>0</v>
      </c>
    </row>
    <row r="10" spans="1:25" s="32" customFormat="1" ht="24.9" customHeight="1" x14ac:dyDescent="0.3">
      <c r="A10" s="36" t="s">
        <v>623</v>
      </c>
      <c r="B10" s="31">
        <f>'הנדסה פרקים'!D$111+'החברה לפיתוח פרקים'!D$66+'החברה לפיתוח פרקים'!D$8+'תבל  פרקים'!D$9+'ביטחון ופיקוח פרקים'!D$11+'שאיפה  פרקים'!D$10+'החברה לתיירות פרקים'!D$8+' מחשוב  פרקים'!D$17+'שיפוצי בתים עמידר  פרקים'!D$8+'כללי  פרקים'!D$25</f>
        <v>103311842</v>
      </c>
      <c r="C10" s="31">
        <f>'הנדסה פרקים'!E$111+'החברה לפיתוח פרקים'!E$66+'החברה לפיתוח פרקים'!E$8+'תבל  פרקים'!E$9+'ביטחון ופיקוח פרקים'!E$11+'שאיפה  פרקים'!E$10+'החברה לתיירות פרקים'!E$8+' מחשוב  פרקים'!E$17+'שיפוצי בתים עמידר  פרקים'!E$8+'כללי  פרקים'!E$25</f>
        <v>96961842</v>
      </c>
      <c r="D10" s="31">
        <f>'הנדסה פרקים'!F$111+'החברה לפיתוח פרקים'!F$66+'החברה לפיתוח פרקים'!F$8+'תבל  פרקים'!F$9+'ביטחון ופיקוח פרקים'!F$11+'שאיפה  פרקים'!F$10+'החברה לתיירות פרקים'!F$8+' מחשוב  פרקים'!F$17+'שיפוצי בתים עמידר  פרקים'!F$8+'כללי  פרקים'!F$25</f>
        <v>6350000</v>
      </c>
      <c r="E10" s="31">
        <f>'הנדסה פרקים'!G$111+'החברה לפיתוח פרקים'!G$66+'החברה לפיתוח פרקים'!G$8+'תבל  פרקים'!G$9+'ביטחון ופיקוח פרקים'!G$11+'שאיפה  פרקים'!G$10+'החברה לתיירות פרקים'!G$8+' מחשוב  פרקים'!G$17+'שיפוצי בתים עמידר  פרקים'!G$8+'כללי  פרקים'!G$25</f>
        <v>79994842</v>
      </c>
      <c r="F10" s="31">
        <f>'הנדסה פרקים'!H$111+'החברה לפיתוח פרקים'!H$66+'החברה לפיתוח פרקים'!H$8+'תבל  פרקים'!H$9+'ביטחון ופיקוח פרקים'!H$11+'שאיפה  פרקים'!H$10+'החברה לתיירות פרקים'!H$8+' מחשוב  פרקים'!H$17+'שיפוצי בתים עמידר  פרקים'!H$8+'כללי  פרקים'!H$25</f>
        <v>69538350.399999991</v>
      </c>
      <c r="G10" s="31">
        <f>'הנדסה פרקים'!I$111+'החברה לפיתוח פרקים'!I$66+'החברה לפיתוח פרקים'!I$8+'תבל  פרקים'!I$9+'ביטחון ופיקוח פרקים'!I$11+'שאיפה  פרקים'!I$10+'החברה לתיירות פרקים'!I$8+' מחשוב  פרקים'!I$17+'שיפוצי בתים עמידר  פרקים'!I$8+'כללי  פרקים'!I$25</f>
        <v>6309247.6299999999</v>
      </c>
      <c r="H10" s="31">
        <f>'הנדסה פרקים'!J$111+'החברה לפיתוח פרקים'!J$66+'החברה לפיתוח פרקים'!J$8+'תבל  פרקים'!J$9+'ביטחון ופיקוח פרקים'!J$11+'שאיפה  פרקים'!J$10+'החברה לתיירות פרקים'!J$8+' מחשוב  פרקים'!J$17+'שיפוצי בתים עמידר  פרקים'!J$8+'כללי  פרקים'!J$25</f>
        <v>201967.31</v>
      </c>
      <c r="I10" s="31">
        <f>'הנדסה פרקים'!K$111+'החברה לפיתוח פרקים'!K$66+'החברה לפיתוח פרקים'!K$8+'תבל  פרקים'!K$9+'ביטחון ופיקוח פרקים'!K$11+'שאיפה  פרקים'!K$10+'החברה לתיירות פרקים'!K$8+' מחשוב  פרקים'!K$17+'שיפוצי בתים עמידר  פרקים'!K$8+'כללי  פרקים'!K$25</f>
        <v>6511214.9400000004</v>
      </c>
      <c r="J10" s="31">
        <f>'הנדסה פרקים'!L$111+'החברה לפיתוח פרקים'!L$66+'החברה לפיתוח פרקים'!L$8+'תבל  פרקים'!L$9+'ביטחון ופיקוח פרקים'!L$11+'שאיפה  פרקים'!L$10+'החברה לתיירות פרקים'!L$8+' מחשוב  פרקים'!L$17+'שיפוצי בתים עמידר  פרקים'!L$8+'כללי  פרקים'!L$25</f>
        <v>76049565.340000004</v>
      </c>
      <c r="K10" s="31">
        <f>'הנדסה פרקים'!M$111+'החברה לפיתוח פרקים'!M$66+'החברה לפיתוח פרקים'!M$8+'תבל  פרקים'!M$9+'ביטחון ופיקוח פרקים'!M$11+'שאיפה  פרקים'!M$10+'החברה לתיירות פרקים'!M$8+' מחשוב  פרקים'!M$17+'שיפוצי בתים עמידר  פרקים'!M$8+'כללי  פרקים'!M$25</f>
        <v>6332276.4199999962</v>
      </c>
      <c r="L10" s="31">
        <f>'הנדסה פרקים'!N$111+'החברה לפיתוח פרקים'!N$66+'החברה לפיתוח פרקים'!N$8+'תבל  פרקים'!N$9+'ביטחון ופיקוח פרקים'!N$11+'שאיפה  פרקים'!N$10+'החברה לתיירות פרקים'!N$8+' מחשוב  פרקים'!N$17+'שיפוצי בתים עמידר  פרקים'!N$8+'כללי  פרקים'!N$25</f>
        <v>9270000</v>
      </c>
      <c r="M10" s="31">
        <f>'הנדסה פרקים'!O$111+'החברה לפיתוח פרקים'!O$66+'החברה לפיתוח פרקים'!O$8+'תבל  פרקים'!O$9+'ביטחון ופיקוח פרקים'!O$11+'שאיפה  פרקים'!O$10+'החברה לתיירות פרקים'!O$8+' מחשוב  פרקים'!O$17+'שיפוצי בתים עמידר  פרקים'!O$8+'כללי  פרקים'!O$25</f>
        <v>11660000.24</v>
      </c>
      <c r="N10" s="31">
        <f>'הנדסה פרקים'!P$111+'החברה לפיתוח פרקים'!P$66+'החברה לפיתוח פרקים'!P$8+'תבל  פרקים'!P$9+'ביטחון ופיקוח פרקים'!P$11+'שאיפה  פרקים'!P$10+'החברה לתיירות פרקים'!P$8+' מחשוב  פרקים'!P$17+'שיפוצי בתים עמידר  פרקים'!P$8+'כללי  פרקים'!P$25</f>
        <v>3945276.6599999964</v>
      </c>
      <c r="O10" s="31">
        <f>'הנדסה פרקים'!Q$111+'החברה לפיתוח פרקים'!Q$66+'החברה לפיתוח פרקים'!Q$8+'תבל  פרקים'!Q$9+'ביטחון ופיקוח פרקים'!Q$11+'שאיפה  פרקים'!Q$10+'החברה לתיירות פרקים'!Q$8+' מחשוב  פרקים'!Q$17+'שיפוצי בתים עמידר  פרקים'!Q$8+'כללי  פרקים'!Q$25</f>
        <v>850000</v>
      </c>
      <c r="P10" s="31">
        <f>'הנדסה פרקים'!R$111+'החברה לפיתוח פרקים'!R$66+'החברה לפיתוח פרקים'!R$8+'תבל  פרקים'!R$9+'ביטחון ופיקוח פרקים'!R$11+'שאיפה  פרקים'!R$10+'החברה לתיירות פרקים'!R$8+' מחשוב  פרקים'!R$17+'שיפוצי בתים עמידר  פרקים'!R$8+'כללי  פרקים'!R$25</f>
        <v>1577000</v>
      </c>
      <c r="Q10" s="31">
        <f>'הנדסה פרקים'!S$111+'החברה לפיתוח פרקים'!S$66+'החברה לפיתוח פרקים'!S$8+'תבל  פרקים'!S$9+'ביטחון ופיקוח פרקים'!S$11+'שאיפה  פרקים'!S$10+'החברה לתיירות פרקים'!S$8+' מחשוב  פרקים'!S$17+'שיפוצי בתים עמידר  פרקים'!S$8+'כללי  פרקים'!S$25</f>
        <v>2427000</v>
      </c>
      <c r="R10" s="31">
        <f>'הנדסה פרקים'!T$111+'החברה לפיתוח פרקים'!T$66+'החברה לפיתוח פרקים'!T$8+'תבל  פרקים'!T$9+'ביטחון ופיקוח פרקים'!T$11+'שאיפה  פרקים'!T$10+'החברה לתיירות פרקים'!T$8+' מחשוב  פרקים'!T$17+'שיפוצי בתים עמידר  פרקים'!T$8+'כללי  פרקים'!T$25</f>
        <v>40000.239999999991</v>
      </c>
      <c r="S10" s="31">
        <f>'הנדסה פרקים'!U$111+'החברה לפיתוח פרקים'!U$66+'החברה לפיתוח פרקים'!U$8+'תבל  פרקים'!U$9+'ביטחון ופיקוח פרקים'!U$11+'שאיפה  פרקים'!U$10+'החברה לתיירות פרקים'!U$8+' מחשוב  פרקים'!U$17+'שיפוצי בתים עמידר  פרקים'!U$8+'כללי  פרקים'!U$25</f>
        <v>9229999.7599999998</v>
      </c>
      <c r="T10" s="31">
        <f>'הנדסה פרקים'!V$111+'החברה לפיתוח פרקים'!V$66+'החברה לפיתוח פרקים'!V$8+'תבל  פרקים'!V$9+'ביטחון ופיקוח פרקים'!V$11+'שאיפה  פרקים'!V$10+'החברה לתיירות פרקים'!V$8+' מחשוב  פרקים'!V$17+'שיפוצי בתים עמידר  פרקים'!V$8+'כללי  פרקים'!V$25</f>
        <v>5800000</v>
      </c>
      <c r="U10" s="31">
        <f>'הנדסה פרקים'!W$111+'החברה לפיתוח פרקים'!W$66+'החברה לפיתוח פרקים'!W$8+'תבל  פרקים'!W$9+'ביטחון ופיקוח פרקים'!W$11+'שאיפה  פרקים'!W$10+'החברה לתיירות פרקים'!W$8+' מחשוב  פרקים'!W$17+'שיפוצי בתים עמידר  פרקים'!W$8+'כללי  פרקים'!W$25</f>
        <v>2229999.7599999998</v>
      </c>
      <c r="V10" s="31">
        <f>'הנדסה פרקים'!X$111+'החברה לפיתוח פרקים'!X$66+'החברה לפיתוח פרקים'!X$8+'תבל  פרקים'!X$9+'ביטחון ופיקוח פרקים'!X$11+'שאיפה  פרקים'!X$10+'החברה לתיירות פרקים'!X$8+' מחשוב  פרקים'!X$17+'שיפוצי בתים עמידר  פרקים'!X$8+'כללי  פרקים'!X$25</f>
        <v>0</v>
      </c>
      <c r="W10" s="31">
        <f>'הנדסה פרקים'!Y$111+'החברה לפיתוח פרקים'!Y$66+'החברה לפיתוח פרקים'!Y$8+'תבל  פרקים'!Y$9+'ביטחון ופיקוח פרקים'!Y$11+'שאיפה  פרקים'!Y$10+'החברה לתיירות פרקים'!Y$8+' מחשוב  פרקים'!Y$17+'שיפוצי בתים עמידר  פרקים'!Y$8+'כללי  פרקים'!Y$25</f>
        <v>1200000</v>
      </c>
    </row>
    <row r="11" spans="1:25" s="32" customFormat="1" ht="24.9" customHeight="1" x14ac:dyDescent="0.3">
      <c r="A11" s="36" t="s">
        <v>763</v>
      </c>
      <c r="B11" s="31">
        <f>'הנדסה פרקים'!D$120+'החברה לפיתוח פרקים'!D$107+'תבל  פרקים'!D$75+'ביטחון ופיקוח פרקים'!D$14+'חינוך תנוס פרקים'!D$26+'חינוך תנוס פרקים'!D$43+'שאיפה  פרקים'!D$31+' מחשוב  פרקים'!D$22</f>
        <v>1212363614</v>
      </c>
      <c r="C11" s="31">
        <f>'הנדסה פרקים'!E$120+'החברה לפיתוח פרקים'!E$107+'תבל  פרקים'!E$75+'ביטחון ופיקוח פרקים'!E$14+'חינוך תנוס פרקים'!E$26+'חינוך תנוס פרקים'!E$43+'שאיפה  פרקים'!E$31+' מחשוב  פרקים'!E$22</f>
        <v>918448914</v>
      </c>
      <c r="D11" s="31">
        <f>'הנדסה פרקים'!F$120+'החברה לפיתוח פרקים'!F$107+'תבל  פרקים'!F$75+'ביטחון ופיקוח פרקים'!F$14+'חינוך תנוס פרקים'!F$26+'חינוך תנוס פרקים'!F$43+'שאיפה  פרקים'!F$31+' מחשוב  פרקים'!F$22</f>
        <v>293079700</v>
      </c>
      <c r="E11" s="31">
        <f>'הנדסה פרקים'!G$120+'החברה לפיתוח פרקים'!G$107+'תבל  פרקים'!G$75+'ביטחון ופיקוח פרקים'!G$14+'חינוך תנוס פרקים'!G$26+'חינוך תנוס פרקים'!G$43+'שאיפה  פרקים'!G$31+' מחשוב  פרקים'!G$22</f>
        <v>482254811</v>
      </c>
      <c r="F11" s="31">
        <f>'הנדסה פרקים'!H$120+'החברה לפיתוח פרקים'!H$107+'תבל  פרקים'!H$75+'ביטחון ופיקוח פרקים'!H$14+'חינוך תנוס פרקים'!H$26+'חינוך תנוס פרקים'!H$43+'שאיפה  פרקים'!H$31+' מחשוב  פרקים'!H$22</f>
        <v>401310774.71999991</v>
      </c>
      <c r="G11" s="31">
        <f>'הנדסה פרקים'!I$120+'החברה לפיתוח פרקים'!I$107+'תבל  פרקים'!I$75+'ביטחון ופיקוח פרקים'!I$14+'חינוך תנוס פרקים'!I$26+'חינוך תנוס פרקים'!I$43+'שאיפה  פרקים'!I$31+' מחשוב  פרקים'!I$22</f>
        <v>23196512.879999999</v>
      </c>
      <c r="H11" s="31">
        <f>'הנדסה פרקים'!J$120+'החברה לפיתוח פרקים'!J$107+'תבל  פרקים'!J$75+'ביטחון ופיקוח פרקים'!J$14+'חינוך תנוס פרקים'!J$26+'חינוך תנוס פרקים'!J$43+'שאיפה  פרקים'!J$31+' מחשוב  פרקים'!J$22</f>
        <v>19352518.929999996</v>
      </c>
      <c r="I11" s="31">
        <f>'הנדסה פרקים'!K$120+'החברה לפיתוח פרקים'!K$107+'תבל  פרקים'!K$75+'ביטחון ופיקוח פרקים'!K$14+'חינוך תנוס פרקים'!K$26+'חינוך תנוס פרקים'!K$43+'שאיפה  פרקים'!K$31+' מחשוב  פרקים'!K$22</f>
        <v>42549031.809999987</v>
      </c>
      <c r="J11" s="31">
        <f>'הנדסה פרקים'!L$120+'החברה לפיתוח פרקים'!L$107+'תבל  פרקים'!L$75+'ביטחון ופיקוח פרקים'!L$14+'חינוך תנוס פרקים'!L$26+'חינוך תנוס פרקים'!L$43+'שאיפה  פרקים'!L$31+' מחשוב  פרקים'!L$22</f>
        <v>443859806.52999979</v>
      </c>
      <c r="K11" s="31">
        <f>'הנדסה פרקים'!M$120+'החברה לפיתוח פרקים'!M$107+'תבל  פרקים'!M$75+'ביטחון ופיקוח פרקים'!M$14+'חינוך תנוס פרקים'!M$26+'חינוך תנוס פרקים'!M$43+'שאיפה  פרקים'!M$31+' מחשוב  פרקים'!M$22</f>
        <v>91713362.469999999</v>
      </c>
      <c r="L11" s="31">
        <f>'הנדסה פרקים'!N$120+'החברה לפיתוח פרקים'!N$107+'תבל  פרקים'!N$75+'ביטחון ופיקוח פרקים'!N$14+'חינוך תנוס פרקים'!N$26+'חינוך תנוס פרקים'!N$43+'שאיפה  פרקים'!N$31+' מחשוב  פרקים'!N$22</f>
        <v>117344959</v>
      </c>
      <c r="M11" s="31">
        <f>'הנדסה פרקים'!O$120+'החברה לפיתוח פרקים'!O$107+'תבל  פרקים'!O$75+'ביטחון ופיקוח פרקים'!O$14+'חינוך תנוס פרקים'!O$26+'חינוך תנוס פרקים'!O$43+'שאיפה  פרקים'!O$31+' מחשוב  פרקים'!O$22</f>
        <v>558610486</v>
      </c>
      <c r="N11" s="31">
        <f>'הנדסה פרקים'!P$120+'החברה לפיתוח פרקים'!P$107+'תבל  פרקים'!P$75+'ביטחון ופיקוח פרקים'!P$14+'חינוך תנוס פרקים'!P$26+'חינוך תנוס פרקים'!P$43+'שאיפה  פרקים'!P$31+' מחשוב  פרקים'!P$22</f>
        <v>38395004.470000006</v>
      </c>
      <c r="O11" s="31">
        <f>'הנדסה פרקים'!Q$120+'החברה לפיתוח פרקים'!Q$107+'תבל  פרקים'!Q$75+'ביטחון ופיקוח פרקים'!Q$14+'חינוך תנוס פרקים'!Q$26+'חינוך תנוס פרקים'!Q$43+'שאיפה  פרקים'!Q$31+' מחשוב  פרקים'!Q$22</f>
        <v>20611120</v>
      </c>
      <c r="P11" s="31">
        <f>'הנדסה פרקים'!R$120+'החברה לפיתוח פרקים'!R$107+'תבל  פרקים'!R$75+'ביטחון ופיקוח פרקים'!R$14+'חינוך תנוס פרקים'!R$26+'חינוך תנוס פרקים'!R$43+'שאיפה  פרקים'!R$31+' מחשוב  פרקים'!R$22</f>
        <v>36503500</v>
      </c>
      <c r="Q11" s="31">
        <f>'הנדסה פרקים'!S$120+'החברה לפיתוח פרקים'!S$107+'תבל  פרקים'!S$75+'ביטחון ופיקוח פרקים'!S$14+'חינוך תנוס פרקים'!S$26+'חינוך תנוס פרקים'!S$43+'שאיפה  פרקים'!S$31+' מחשוב  פרקים'!S$22</f>
        <v>57114620</v>
      </c>
      <c r="R11" s="31">
        <f>'הנדסה פרקים'!T$120+'החברה לפיתוח פרקים'!T$107+'תבל  פרקים'!T$75+'ביטחון ופיקוח פרקים'!T$14+'חינוך תנוס פרקים'!T$26+'חינוך תנוס פרקים'!T$43+'שאיפה  פרקים'!T$31+' מחשוב  פרקים'!T$22</f>
        <v>3796262</v>
      </c>
      <c r="S11" s="31">
        <f>'הנדסה פרקים'!U$120+'החברה לפיתוח פרקים'!U$107+'תבל  פרקים'!U$75+'ביטחון ופיקוח פרקים'!U$14+'חינוך תנוס פרקים'!U$26+'חינוך תנוס פרקים'!U$43+'שאיפה  פרקים'!U$31+' מחשוב  פרקים'!U$22</f>
        <v>113548697</v>
      </c>
      <c r="T11" s="31">
        <f>'הנדסה פרקים'!V$120+'החברה לפיתוח פרקים'!V$107+'תבל  פרקים'!V$75+'ביטחון ופיקוח פרקים'!V$14+'חינוך תנוס פרקים'!V$26+'חינוך תנוס פרקים'!V$43+'שאיפה  פרקים'!V$31+' מחשוב  פרקים'!V$22</f>
        <v>53901882.299999997</v>
      </c>
      <c r="U11" s="31">
        <f>'הנדסה פרקים'!W$120+'החברה לפיתוח פרקים'!W$107+'תבל  פרקים'!W$75+'ביטחון ופיקוח פרקים'!W$14+'חינוך תנוס פרקים'!W$26+'חינוך תנוס פרקים'!W$43+'שאיפה  פרקים'!W$31+' מחשוב  פרקים'!W$22</f>
        <v>7594000</v>
      </c>
      <c r="V11" s="31">
        <f>'הנדסה פרקים'!X$120+'החברה לפיתוח פרקים'!X$107+'תבל  פרקים'!X$75+'ביטחון ופיקוח פרקים'!X$14+'חינוך תנוס פרקים'!X$26+'חינוך תנוס פרקים'!X$43+'שאיפה  פרקים'!X$31+' מחשוב  פרקים'!X$22</f>
        <v>0</v>
      </c>
      <c r="W11" s="31">
        <f>'הנדסה פרקים'!Y$120+'החברה לפיתוח פרקים'!Y$107+'תבל  פרקים'!Y$75+'ביטחון ופיקוח פרקים'!Y$14+'חינוך תנוס פרקים'!Y$26+'חינוך תנוס פרקים'!Y$43+'שאיפה  פרקים'!Y$31+' מחשוב  פרקים'!Y$22</f>
        <v>52052814.700000003</v>
      </c>
    </row>
    <row r="12" spans="1:25" s="32" customFormat="1" ht="24.9" customHeight="1" x14ac:dyDescent="0.25">
      <c r="A12" s="36" t="s">
        <v>624</v>
      </c>
      <c r="B12" s="37">
        <f>'החברה לפיתוח פרקים'!D$113+'תבל  פרקים'!D$86</f>
        <v>18082877</v>
      </c>
      <c r="C12" s="37">
        <f>'החברה לפיתוח פרקים'!E$113+'תבל  פרקים'!E$86</f>
        <v>16482877</v>
      </c>
      <c r="D12" s="37">
        <f>'החברה לפיתוח פרקים'!F$113+'תבל  פרקים'!F$86</f>
        <v>1600000</v>
      </c>
      <c r="E12" s="37">
        <f>'החברה לפיתוח פרקים'!G$113+'תבל  פרקים'!G$86</f>
        <v>10082877</v>
      </c>
      <c r="F12" s="37">
        <f>'החברה לפיתוח פרקים'!H$113+'תבל  פרקים'!H$86</f>
        <v>8955260.8499999996</v>
      </c>
      <c r="G12" s="37">
        <f>'החברה לפיתוח פרקים'!I$113+'תבל  פרקים'!I$86</f>
        <v>1106698.8900000001</v>
      </c>
      <c r="H12" s="37">
        <f>'החברה לפיתוח פרקים'!J$113+'תבל  פרקים'!J$86</f>
        <v>0</v>
      </c>
      <c r="I12" s="37">
        <f>'החברה לפיתוח פרקים'!K$113+'תבל  פרקים'!K$86</f>
        <v>1106698.8900000001</v>
      </c>
      <c r="J12" s="37">
        <f>'החברה לפיתוח פרקים'!L$113+'תבל  פרקים'!L$86</f>
        <v>10061959.74</v>
      </c>
      <c r="K12" s="37">
        <f>'החברה לפיתוח פרקים'!M$113+'תבל  פרקים'!M$86</f>
        <v>2120917.2599999998</v>
      </c>
      <c r="L12" s="37">
        <f>'החברה לפיתוח פרקים'!N$113+'תבל  פרקים'!N$86</f>
        <v>3700000</v>
      </c>
      <c r="M12" s="37">
        <f>'החברה לפיתוח פרקים'!O$113+'תבל  פרקים'!O$86</f>
        <v>2200000</v>
      </c>
      <c r="N12" s="37">
        <f>'החברה לפיתוח פרקים'!P$113+'תבל  פרקים'!P$86</f>
        <v>20917.259999999893</v>
      </c>
      <c r="O12" s="37">
        <f>'החברה לפיתוח פרקים'!Q$113+'תבל  פרקים'!Q$86</f>
        <v>50000</v>
      </c>
      <c r="P12" s="37">
        <f>'החברה לפיתוח פרקים'!R$113+'תבל  פרקים'!R$86</f>
        <v>2050000</v>
      </c>
      <c r="Q12" s="37">
        <f>'החברה לפיתוח פרקים'!S$113+'תבל  פרקים'!S$86</f>
        <v>2100000</v>
      </c>
      <c r="R12" s="37">
        <f>'החברה לפיתוח פרקים'!T$113+'תבל  פרקים'!T$86</f>
        <v>0</v>
      </c>
      <c r="S12" s="37">
        <f>'החברה לפיתוח פרקים'!U$113+'תבל  פרקים'!U$86</f>
        <v>3700000</v>
      </c>
      <c r="T12" s="37">
        <f>'החברה לפיתוח פרקים'!V$113+'תבל  פרקים'!V$86</f>
        <v>2900000</v>
      </c>
      <c r="U12" s="37">
        <f>'החברה לפיתוח פרקים'!W$113+'תבל  פרקים'!W$86</f>
        <v>800000</v>
      </c>
      <c r="V12" s="37">
        <f>'החברה לפיתוח פרקים'!X$113+'תבל  פרקים'!X$86</f>
        <v>0</v>
      </c>
      <c r="W12" s="37">
        <f>'החברה לפיתוח פרקים'!Y$113+'תבל  פרקים'!Y$86</f>
        <v>0</v>
      </c>
    </row>
    <row r="13" spans="1:25" s="32" customFormat="1" ht="24.9" customHeight="1" x14ac:dyDescent="0.25">
      <c r="A13" s="36" t="s">
        <v>242</v>
      </c>
      <c r="B13" s="37">
        <f>'תבל  פרקים'!D$93+'שאיפה  פרקים'!D$37+'שאיפה  פרקים'!D$84</f>
        <v>22189559</v>
      </c>
      <c r="C13" s="37">
        <f>'תבל  פרקים'!E$93+'שאיפה  פרקים'!E$37+'שאיפה  פרקים'!E$84</f>
        <v>21099559</v>
      </c>
      <c r="D13" s="37">
        <f>'תבל  פרקים'!F$93+'שאיפה  פרקים'!F$37+'שאיפה  פרקים'!F$84</f>
        <v>1090000</v>
      </c>
      <c r="E13" s="37">
        <f>'תבל  פרקים'!G$93+'שאיפה  פרקים'!G$37+'שאיפה  פרקים'!G$84</f>
        <v>5284500</v>
      </c>
      <c r="F13" s="37">
        <f>'תבל  פרקים'!H$93+'שאיפה  פרקים'!H$37+'שאיפה  פרקים'!H$84</f>
        <v>2871814.9699999997</v>
      </c>
      <c r="G13" s="37">
        <f>'תבל  פרקים'!I$93+'שאיפה  פרקים'!I$37+'שאיפה  פרקים'!I$84</f>
        <v>484410.04000000004</v>
      </c>
      <c r="H13" s="37">
        <f>'תבל  פרקים'!J$93+'שאיפה  פרקים'!J$37+'שאיפה  פרקים'!J$84</f>
        <v>28950</v>
      </c>
      <c r="I13" s="37">
        <f>'תבל  פרקים'!K$93+'שאיפה  פרקים'!K$37+'שאיפה  פרקים'!K$84</f>
        <v>513360.04000000004</v>
      </c>
      <c r="J13" s="37">
        <f>'תבל  פרקים'!L$93+'שאיפה  פרקים'!L$37+'שאיפה  פרקים'!L$84</f>
        <v>3385175.0100000002</v>
      </c>
      <c r="K13" s="37">
        <f>'תבל  פרקים'!M$93+'שאיפה  פרקים'!M$37+'שאיפה  פרקים'!M$84</f>
        <v>2944324.99</v>
      </c>
      <c r="L13" s="37">
        <f>'תבל  פרקים'!N$93+'שאיפה  פרקים'!N$37+'שאיפה  פרקים'!N$84</f>
        <v>1996059</v>
      </c>
      <c r="M13" s="37">
        <f>'תבל  פרקים'!O$93+'שאיפה  פרקים'!O$37+'שאיפה  פרקים'!O$84</f>
        <v>13864000</v>
      </c>
      <c r="N13" s="37">
        <f>'תבל  פרקים'!P$93+'שאיפה  פרקים'!P$37+'שאיפה  פרקים'!P$84</f>
        <v>1899324.99</v>
      </c>
      <c r="O13" s="37">
        <f>'תבל  פרקים'!Q$93+'שאיפה  פרקים'!Q$37+'שאיפה  פרקים'!Q$84</f>
        <v>25000</v>
      </c>
      <c r="P13" s="37">
        <f>'תבל  פרקים'!R$93+'שאיפה  פרקים'!R$37+'שאיפה  פרקים'!R$84</f>
        <v>1020000</v>
      </c>
      <c r="Q13" s="37">
        <f>'תבל  פרקים'!S$93+'שאיפה  פרקים'!S$37+'שאיפה  פרקים'!S$84</f>
        <v>1045000</v>
      </c>
      <c r="R13" s="37">
        <f>'תבל  פרקים'!T$93+'שאיפה  פרקים'!T$37+'שאיפה  פרקים'!T$84</f>
        <v>0</v>
      </c>
      <c r="S13" s="37">
        <f>'תבל  פרקים'!U$93+'שאיפה  פרקים'!U$37+'שאיפה  פרקים'!U$84</f>
        <v>1996059</v>
      </c>
      <c r="T13" s="37">
        <f>'תבל  פרקים'!V$93+'שאיפה  פרקים'!V$37+'שאיפה  פרקים'!V$84</f>
        <v>0</v>
      </c>
      <c r="U13" s="37">
        <f>'תבל  פרקים'!W$93+'שאיפה  פרקים'!W$37+'שאיפה  פרקים'!W$84</f>
        <v>1608000</v>
      </c>
      <c r="V13" s="37">
        <f>'תבל  פרקים'!X$93+'שאיפה  פרקים'!X$37+'שאיפה  פרקים'!X$84</f>
        <v>0</v>
      </c>
      <c r="W13" s="37">
        <f>'תבל  פרקים'!Y$93+'שאיפה  פרקים'!Y$37+'שאיפה  פרקים'!Y$84</f>
        <v>388059</v>
      </c>
    </row>
    <row r="14" spans="1:25" s="32" customFormat="1" ht="24.9" customHeight="1" x14ac:dyDescent="0.25">
      <c r="A14" s="36" t="s">
        <v>764</v>
      </c>
      <c r="B14" s="37">
        <f>'תבל  פרקים'!D$79+'שאיפה  פרקים'!D$34</f>
        <v>20800000</v>
      </c>
      <c r="C14" s="37">
        <f>'תבל  פרקים'!E$79+'שאיפה  פרקים'!E$34</f>
        <v>16600000</v>
      </c>
      <c r="D14" s="37">
        <f>'תבל  פרקים'!F$79+'שאיפה  פרקים'!F$34</f>
        <v>4200000</v>
      </c>
      <c r="E14" s="37">
        <f>'תבל  פרקים'!G$79+'שאיפה  פרקים'!G$34</f>
        <v>14700000</v>
      </c>
      <c r="F14" s="37">
        <f>'תבל  פרקים'!H$79+'שאיפה  פרקים'!H$34</f>
        <v>12975595.25</v>
      </c>
      <c r="G14" s="37">
        <f>'תבל  פרקים'!I$79+'שאיפה  פרקים'!I$34</f>
        <v>1622724.43</v>
      </c>
      <c r="H14" s="37">
        <f>'תבל  פרקים'!J$79+'שאיפה  פרקים'!J$34</f>
        <v>0</v>
      </c>
      <c r="I14" s="37">
        <f>'תבל  פרקים'!K$79+'שאיפה  פרקים'!K$34</f>
        <v>1622724.43</v>
      </c>
      <c r="J14" s="37">
        <f>'תבל  פרקים'!L$79+'שאיפה  פרקים'!L$34</f>
        <v>14598319.68</v>
      </c>
      <c r="K14" s="37">
        <f>'תבל  פרקים'!M$79+'שאיפה  פרקים'!M$34</f>
        <v>901680.3200000003</v>
      </c>
      <c r="L14" s="37">
        <f>'תבל  פרקים'!N$79+'שאיפה  פרקים'!N$34</f>
        <v>4274320</v>
      </c>
      <c r="M14" s="37">
        <f>'תבל  פרקים'!O$79+'שאיפה  פרקים'!O$34</f>
        <v>1025680</v>
      </c>
      <c r="N14" s="37">
        <f>'תבל  פרקים'!P$79+'שאיפה  פרקים'!P$34</f>
        <v>101680.3200000003</v>
      </c>
      <c r="O14" s="37">
        <f>'תבל  פרקים'!Q$79+'שאיפה  פרקים'!Q$34</f>
        <v>800000</v>
      </c>
      <c r="P14" s="37">
        <f>'תבל  פרקים'!R$79+'שאיפה  פרקים'!R$34</f>
        <v>0</v>
      </c>
      <c r="Q14" s="37">
        <f>'תבל  פרקים'!S$79+'שאיפה  פרקים'!S$34</f>
        <v>800000</v>
      </c>
      <c r="R14" s="37">
        <f>'תבל  פרקים'!T$79+'שאיפה  פרקים'!T$34</f>
        <v>0</v>
      </c>
      <c r="S14" s="37">
        <f>'תבל  פרקים'!U$79+'שאיפה  פרקים'!U$34</f>
        <v>4274320</v>
      </c>
      <c r="T14" s="37">
        <f>'תבל  פרקים'!V$79+'שאיפה  פרקים'!V$34</f>
        <v>0</v>
      </c>
      <c r="U14" s="37">
        <f>'תבל  פרקים'!W$79+'שאיפה  פרקים'!W$34</f>
        <v>4200000</v>
      </c>
      <c r="V14" s="37">
        <f>'תבל  פרקים'!X$79+'שאיפה  פרקים'!X$34</f>
        <v>0</v>
      </c>
      <c r="W14" s="37">
        <f>'תבל  פרקים'!Y$79+'שאיפה  פרקים'!Y$34</f>
        <v>74320</v>
      </c>
      <c r="Y14" s="229"/>
    </row>
    <row r="15" spans="1:25" s="32" customFormat="1" ht="24.9" customHeight="1" x14ac:dyDescent="0.25">
      <c r="A15" s="36" t="s">
        <v>620</v>
      </c>
      <c r="B15" s="37">
        <f>'שיפוצי בתים עמידר  פרקים'!D$12</f>
        <v>77940000</v>
      </c>
      <c r="C15" s="37">
        <f>'שיפוצי בתים עמידר  פרקים'!E$12</f>
        <v>80000000</v>
      </c>
      <c r="D15" s="37">
        <f>'שיפוצי בתים עמידר  פרקים'!F$12</f>
        <v>-2060000</v>
      </c>
      <c r="E15" s="37">
        <f>'שיפוצי בתים עמידר  פרקים'!G$12</f>
        <v>54840000</v>
      </c>
      <c r="F15" s="37">
        <f>'שיפוצי בתים עמידר  פרקים'!H$12</f>
        <v>53737670</v>
      </c>
      <c r="G15" s="37">
        <f>'שיפוצי בתים עמידר  פרקים'!I$12</f>
        <v>0</v>
      </c>
      <c r="H15" s="37">
        <f>'שיפוצי בתים עמידר  פרקים'!J$12</f>
        <v>0</v>
      </c>
      <c r="I15" s="37">
        <f>'שיפוצי בתים עמידר  פרקים'!K$12</f>
        <v>0</v>
      </c>
      <c r="J15" s="37">
        <f>'שיפוצי בתים עמידר  פרקים'!L$12</f>
        <v>53737670</v>
      </c>
      <c r="K15" s="37">
        <f>'שיפוצי בתים עמידר  פרקים'!M$12</f>
        <v>4452330</v>
      </c>
      <c r="L15" s="37">
        <f>'שיפוצי בתים עמידר  פרקים'!N$12</f>
        <v>11500000</v>
      </c>
      <c r="M15" s="37">
        <f>'שיפוצי בתים עמידר  פרקים'!O$12</f>
        <v>8250000</v>
      </c>
      <c r="N15" s="37">
        <f>'שיפוצי בתים עמידר  פרקים'!P$12</f>
        <v>1102330</v>
      </c>
      <c r="O15" s="37">
        <f>'שיפוצי בתים עמידר  פרקים'!Q$12</f>
        <v>3350000</v>
      </c>
      <c r="P15" s="37">
        <f>'שיפוצי בתים עמידר  פרקים'!R$12</f>
        <v>0</v>
      </c>
      <c r="Q15" s="37">
        <f>'שיפוצי בתים עמידר  פרקים'!S$12</f>
        <v>3350000</v>
      </c>
      <c r="R15" s="37">
        <f>'שיפוצי בתים עמידר  פרקים'!T$12</f>
        <v>0</v>
      </c>
      <c r="S15" s="37">
        <f>'שיפוצי בתים עמידר  פרקים'!U$12</f>
        <v>11500000</v>
      </c>
      <c r="T15" s="37">
        <f>'שיפוצי בתים עמידר  פרקים'!V$12</f>
        <v>0</v>
      </c>
      <c r="U15" s="37">
        <f>'שיפוצי בתים עמידר  פרקים'!W$12</f>
        <v>0</v>
      </c>
      <c r="V15" s="37">
        <f>'שיפוצי בתים עמידר  פרקים'!X$12</f>
        <v>0</v>
      </c>
      <c r="W15" s="37">
        <f>'שיפוצי בתים עמידר  פרקים'!Y$12</f>
        <v>11500000</v>
      </c>
      <c r="Y15" s="229"/>
    </row>
    <row r="16" spans="1:25" s="32" customFormat="1" ht="24.9" customHeight="1" x14ac:dyDescent="0.25">
      <c r="A16" s="36" t="s">
        <v>619</v>
      </c>
      <c r="B16" s="37">
        <f>'הנדסה פרקים'!D$125+'החברה לפיתוח פרקים'!D$120+'תבל  פרקים'!D$100+'חינוך תנוס פרקים'!D$46+'שאיפה  פרקים'!D$40+'נכסים פרקים'!D$24</f>
        <v>291914700</v>
      </c>
      <c r="C16" s="37">
        <f>'הנדסה פרקים'!E$125+'החברה לפיתוח פרקים'!E$120+'תבל  פרקים'!E$100+'חינוך תנוס פרקים'!E$46+'שאיפה  פרקים'!E$40+'נכסים פרקים'!E$24</f>
        <v>288851700</v>
      </c>
      <c r="D16" s="37">
        <f>'הנדסה פרקים'!F$125+'החברה לפיתוח פרקים'!F$120+'תבל  פרקים'!F$100+'חינוך תנוס פרקים'!F$46+'שאיפה  פרקים'!F$40+'נכסים פרקים'!F$24</f>
        <v>3063000</v>
      </c>
      <c r="E16" s="37">
        <f>'הנדסה פרקים'!G$125+'החברה לפיתוח פרקים'!G$120+'תבל  פרקים'!G$100+'חינוך תנוס פרקים'!G$46+'שאיפה  פרקים'!G$40+'נכסים פרקים'!G$24</f>
        <v>192915056</v>
      </c>
      <c r="F16" s="37">
        <f>'הנדסה פרקים'!H$125+'החברה לפיתוח פרקים'!H$120+'תבל  פרקים'!H$100+'חינוך תנוס פרקים'!H$46+'שאיפה  פרקים'!H$40+'נכסים פרקים'!H$24</f>
        <v>122186040.68000001</v>
      </c>
      <c r="G16" s="37">
        <f>'הנדסה פרקים'!I$125+'החברה לפיתוח פרקים'!I$120+'תבל  פרקים'!I$100+'חינוך תנוס פרקים'!I$46+'שאיפה  פרקים'!I$40+'נכסים פרקים'!I$24</f>
        <v>5891889.71</v>
      </c>
      <c r="H16" s="37">
        <f>'הנדסה פרקים'!J$125+'החברה לפיתוח פרקים'!J$120+'תבל  פרקים'!J$100+'חינוך תנוס פרקים'!J$46+'שאיפה  פרקים'!J$40+'נכסים פרקים'!J$24</f>
        <v>2552643.88</v>
      </c>
      <c r="I16" s="37">
        <f>'הנדסה פרקים'!K$125+'החברה לפיתוח פרקים'!K$120+'תבל  פרקים'!K$100+'חינוך תנוס פרקים'!K$46+'שאיפה  פרקים'!K$40+'נכסים פרקים'!K$24</f>
        <v>8444533.5900000017</v>
      </c>
      <c r="J16" s="37">
        <f>'הנדסה פרקים'!L$125+'החברה לפיתוח פרקים'!L$120+'תבל  פרקים'!L$100+'חינוך תנוס פרקים'!L$46+'שאיפה  פרקים'!L$40+'נכסים פרקים'!L$24</f>
        <v>130630574.27000001</v>
      </c>
      <c r="K16" s="37">
        <f>'הנדסה פרקים'!M$125+'החברה לפיתוח פרקים'!M$120+'תבל  פרקים'!M$100+'חינוך תנוס פרקים'!M$46+'שאיפה  פרקים'!M$40+'נכסים פרקים'!M$24</f>
        <v>86541950.729999989</v>
      </c>
      <c r="L16" s="37">
        <f>'הנדסה פרקים'!N$125+'החברה לפיתוח פרקים'!N$120+'תבל  פרקים'!N$100+'חינוך תנוס פרקים'!N$46+'שאיפה  פרקים'!N$40+'נכסים פרקים'!N$24</f>
        <v>4670000</v>
      </c>
      <c r="M16" s="37">
        <f>'הנדסה פרקים'!O$125+'החברה לפיתוח פרקים'!O$120+'תבל  פרקים'!O$100+'חינוך תנוס פרקים'!O$46+'שאיפה  פרקים'!O$40+'נכסים פרקים'!O$24</f>
        <v>70072175</v>
      </c>
      <c r="N16" s="37">
        <f>'הנדסה פרקים'!P$125+'החברה לפיתוח פרקים'!P$120+'תבל  פרקים'!P$100+'חינוך תנוס פרקים'!P$46+'שאיפה  פרקים'!P$40+'נכסים פרקים'!P$24</f>
        <v>62284481.729999997</v>
      </c>
      <c r="O16" s="37">
        <f>'הנדסה פרקים'!Q$125+'החברה לפיתוח פרקים'!Q$120+'תבל  פרקים'!Q$100+'חינוך תנוס פרקים'!Q$46+'שאיפה  פרקים'!Q$40+'נכסים פרקים'!Q$24</f>
        <v>22557469</v>
      </c>
      <c r="P16" s="37">
        <f>'הנדסה פרקים'!R$125+'החברה לפיתוח פרקים'!R$120+'תבל  פרקים'!R$100+'חינוך תנוס פרקים'!R$46+'שאיפה  פרקים'!R$40+'נכסים פרקים'!R$24</f>
        <v>1700000</v>
      </c>
      <c r="Q16" s="37">
        <f>'הנדסה פרקים'!S$125+'החברה לפיתוח פרקים'!S$120+'תבל  פרקים'!S$100+'חינוך תנוס פרקים'!S$46+'שאיפה  פרקים'!S$40+'נכסים פרקים'!S$24</f>
        <v>24257469</v>
      </c>
      <c r="R16" s="37">
        <f>'הנדסה פרקים'!T$125+'החברה לפיתוח פרקים'!T$120+'תבל  פרקים'!T$100+'חינוך תנוס פרקים'!T$46+'שאיפה  פרקים'!T$40+'נכסים פרקים'!T$24</f>
        <v>0</v>
      </c>
      <c r="S16" s="37">
        <f>'הנדסה פרקים'!U$125+'החברה לפיתוח פרקים'!U$120+'תבל  פרקים'!U$100+'חינוך תנוס פרקים'!U$46+'שאיפה  פרקים'!U$40+'נכסים פרקים'!U$24</f>
        <v>4670000</v>
      </c>
      <c r="T16" s="37">
        <f>'הנדסה פרקים'!V$125+'החברה לפיתוח פרקים'!V$120+'תבל  פרקים'!V$100+'חינוך תנוס פרקים'!V$46+'שאיפה  פרקים'!V$40+'נכסים פרקים'!V$24</f>
        <v>-2730000</v>
      </c>
      <c r="U16" s="37">
        <f>'הנדסה פרקים'!W$125+'החברה לפיתוח פרקים'!W$120+'תבל  פרקים'!W$100+'חינוך תנוס פרקים'!W$46+'שאיפה  פרקים'!W$40+'נכסים פרקים'!W$24</f>
        <v>7400000</v>
      </c>
      <c r="V16" s="37">
        <f>'הנדסה פרקים'!X$125+'החברה לפיתוח פרקים'!X$120+'תבל  פרקים'!X$100+'חינוך תנוס פרקים'!X$46+'שאיפה  פרקים'!X$40+'נכסים פרקים'!X$24</f>
        <v>0</v>
      </c>
      <c r="W16" s="37">
        <f>'הנדסה פרקים'!Y$125+'החברה לפיתוח פרקים'!Y$120+'תבל  פרקים'!Y$100+'חינוך תנוס פרקים'!Y$46+'שאיפה  פרקים'!Y$40+'נכסים פרקים'!Y$24</f>
        <v>0</v>
      </c>
    </row>
    <row r="17" spans="1:25" s="32" customFormat="1" ht="24.9" customHeight="1" x14ac:dyDescent="0.25">
      <c r="A17" s="36" t="s">
        <v>765</v>
      </c>
      <c r="B17" s="37">
        <f>'כללי  פרקים'!D$28</f>
        <v>15133000</v>
      </c>
      <c r="C17" s="37">
        <f>'כללי  פרקים'!E$28</f>
        <v>15133000</v>
      </c>
      <c r="D17" s="37">
        <f>'כללי  פרקים'!F$28</f>
        <v>0</v>
      </c>
      <c r="E17" s="37">
        <f>'כללי  פרקים'!G$28</f>
        <v>15133000</v>
      </c>
      <c r="F17" s="37">
        <f>'כללי  פרקים'!H$28</f>
        <v>15133000</v>
      </c>
      <c r="G17" s="37">
        <f>'כללי  פרקים'!I$28</f>
        <v>0</v>
      </c>
      <c r="H17" s="37">
        <f>'כללי  פרקים'!J$28</f>
        <v>0</v>
      </c>
      <c r="I17" s="37">
        <f>'כללי  פרקים'!K$28</f>
        <v>0</v>
      </c>
      <c r="J17" s="37">
        <f>'כללי  פרקים'!L$28</f>
        <v>15133000</v>
      </c>
      <c r="K17" s="37">
        <f>'כללי  פרקים'!M$28</f>
        <v>0</v>
      </c>
      <c r="L17" s="37">
        <f>'כללי  פרקים'!N$28</f>
        <v>0</v>
      </c>
      <c r="M17" s="37">
        <f>'כללי  פרקים'!O$28</f>
        <v>0</v>
      </c>
      <c r="N17" s="37">
        <f>'כללי  פרקים'!P$28</f>
        <v>0</v>
      </c>
      <c r="O17" s="37">
        <f>'כללי  פרקים'!Q$28</f>
        <v>0</v>
      </c>
      <c r="P17" s="37">
        <f>'כללי  פרקים'!R$28</f>
        <v>0</v>
      </c>
      <c r="Q17" s="37">
        <f>'כללי  פרקים'!S$28</f>
        <v>0</v>
      </c>
      <c r="R17" s="37">
        <f>'כללי  פרקים'!T$28</f>
        <v>0</v>
      </c>
      <c r="S17" s="37">
        <f>'כללי  פרקים'!U$28</f>
        <v>0</v>
      </c>
      <c r="T17" s="37">
        <f>'כללי  פרקים'!V$28</f>
        <v>0</v>
      </c>
      <c r="U17" s="37">
        <f>'כללי  פרקים'!W$28</f>
        <v>0</v>
      </c>
      <c r="V17" s="37">
        <f>'כללי  פרקים'!X$28</f>
        <v>0</v>
      </c>
      <c r="W17" s="37">
        <f>'כללי  פרקים'!Y$28</f>
        <v>0</v>
      </c>
    </row>
    <row r="18" spans="1:25" s="39" customFormat="1" ht="24.9" customHeight="1" x14ac:dyDescent="0.3">
      <c r="A18" s="30" t="s">
        <v>248</v>
      </c>
      <c r="B18" s="38">
        <f t="shared" ref="B18:W18" si="0">SUM(B6:B17)</f>
        <v>3716633864</v>
      </c>
      <c r="C18" s="38">
        <f t="shared" si="0"/>
        <v>3218808745</v>
      </c>
      <c r="D18" s="38">
        <f t="shared" si="0"/>
        <v>496990119</v>
      </c>
      <c r="E18" s="38">
        <f t="shared" si="0"/>
        <v>1737206060</v>
      </c>
      <c r="F18" s="38">
        <f t="shared" si="0"/>
        <v>1391665263.5799999</v>
      </c>
      <c r="G18" s="38">
        <f t="shared" si="0"/>
        <v>94079107.980000004</v>
      </c>
      <c r="H18" s="38">
        <f t="shared" si="0"/>
        <v>35202603.729999997</v>
      </c>
      <c r="I18" s="38">
        <f t="shared" si="0"/>
        <v>129281711.70999999</v>
      </c>
      <c r="J18" s="38">
        <f t="shared" si="0"/>
        <v>1520946975.2899997</v>
      </c>
      <c r="K18" s="38">
        <f t="shared" si="0"/>
        <v>408467290.46999991</v>
      </c>
      <c r="L18" s="38">
        <f t="shared" si="0"/>
        <v>457461704</v>
      </c>
      <c r="M18" s="38">
        <f t="shared" si="0"/>
        <v>1328922894.24</v>
      </c>
      <c r="N18" s="38">
        <f t="shared" si="0"/>
        <v>216259084.71000001</v>
      </c>
      <c r="O18" s="38">
        <f t="shared" si="0"/>
        <v>132771145</v>
      </c>
      <c r="P18" s="38">
        <f t="shared" si="0"/>
        <v>82277500</v>
      </c>
      <c r="Q18" s="38">
        <f t="shared" si="0"/>
        <v>215048645</v>
      </c>
      <c r="R18" s="38">
        <f t="shared" si="0"/>
        <v>22840439.239999998</v>
      </c>
      <c r="S18" s="38">
        <f t="shared" si="0"/>
        <v>434621264.75999999</v>
      </c>
      <c r="T18" s="38">
        <f t="shared" si="0"/>
        <v>163255000.30000001</v>
      </c>
      <c r="U18" s="38">
        <f t="shared" si="0"/>
        <v>34999999.759999998</v>
      </c>
      <c r="V18" s="38">
        <f t="shared" si="0"/>
        <v>0</v>
      </c>
      <c r="W18" s="38">
        <f t="shared" si="0"/>
        <v>236366264.69999999</v>
      </c>
      <c r="Y18" s="230"/>
    </row>
    <row r="19" spans="1:25" s="32" customFormat="1" hidden="1" x14ac:dyDescent="0.3">
      <c r="A19" s="40"/>
      <c r="B19" s="41">
        <f>3716564245-B18</f>
        <v>-69619</v>
      </c>
      <c r="C19" s="41"/>
      <c r="D19" s="42"/>
      <c r="E19" s="41"/>
      <c r="F19" s="41"/>
      <c r="G19" s="41"/>
      <c r="H19" s="41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5" hidden="1" x14ac:dyDescent="0.3">
      <c r="M20" s="45"/>
      <c r="N20" s="46"/>
      <c r="O20" s="45"/>
      <c r="P20" s="52"/>
      <c r="Q20" s="52"/>
      <c r="R20" s="46"/>
      <c r="S20" s="47" t="s">
        <v>248</v>
      </c>
      <c r="T20" s="47" t="s">
        <v>222</v>
      </c>
      <c r="U20" s="47" t="s">
        <v>249</v>
      </c>
      <c r="V20" s="47" t="s">
        <v>15</v>
      </c>
      <c r="W20" s="47" t="s">
        <v>223</v>
      </c>
    </row>
    <row r="21" spans="1:25" hidden="1" x14ac:dyDescent="0.3">
      <c r="M21" s="47" t="s">
        <v>250</v>
      </c>
      <c r="N21" s="48"/>
      <c r="O21" s="47" t="s">
        <v>250</v>
      </c>
      <c r="P21" s="53"/>
      <c r="Q21" s="53"/>
      <c r="R21" s="49"/>
      <c r="S21" s="50">
        <f>SUM(T21:W21)</f>
        <v>434621265</v>
      </c>
      <c r="T21" s="50">
        <f>'תקציב 2017 קרנות הרשות'!C19*1000</f>
        <v>163255000</v>
      </c>
      <c r="U21" s="50">
        <f>'תקציב 2017 קרנות הרשות'!D19*1000</f>
        <v>35000000</v>
      </c>
      <c r="V21" s="50"/>
      <c r="W21" s="50">
        <f>'פרוט מקורות אחרים'!$Q$16</f>
        <v>236366265</v>
      </c>
    </row>
    <row r="22" spans="1:25" hidden="1" x14ac:dyDescent="0.3">
      <c r="M22" s="47" t="s">
        <v>251</v>
      </c>
      <c r="N22" s="48"/>
      <c r="O22" s="47" t="s">
        <v>251</v>
      </c>
      <c r="P22" s="53"/>
      <c r="Q22" s="53"/>
      <c r="R22" s="49"/>
      <c r="S22" s="50">
        <f>S21-S18</f>
        <v>0.24000000953674316</v>
      </c>
      <c r="T22" s="50">
        <f>T21-T18</f>
        <v>-0.30000001192092896</v>
      </c>
      <c r="U22" s="50">
        <f>U21-U18</f>
        <v>0.24000000208616257</v>
      </c>
      <c r="V22" s="50">
        <f>V21-V18</f>
        <v>0</v>
      </c>
      <c r="W22" s="50">
        <f>W21-W18</f>
        <v>0.30000001192092896</v>
      </c>
      <c r="Y22" s="41"/>
    </row>
    <row r="23" spans="1:25" x14ac:dyDescent="0.3">
      <c r="M23" s="193"/>
      <c r="O23" s="193"/>
      <c r="P23" s="193"/>
      <c r="Q23" s="193"/>
      <c r="R23" s="32"/>
      <c r="S23" s="51"/>
      <c r="T23" s="51"/>
      <c r="U23" s="51"/>
      <c r="V23" s="51"/>
      <c r="W23" s="51"/>
    </row>
    <row r="24" spans="1:25" x14ac:dyDescent="0.3">
      <c r="M24" s="193"/>
      <c r="O24" s="193"/>
      <c r="P24" s="193"/>
      <c r="Q24" s="193"/>
      <c r="R24" s="51"/>
      <c r="S24" s="51"/>
      <c r="T24" s="51"/>
      <c r="U24" s="51"/>
      <c r="V24" s="51"/>
      <c r="W24" s="51"/>
    </row>
    <row r="25" spans="1:25" x14ac:dyDescent="0.3">
      <c r="M25" s="193"/>
      <c r="O25" s="193"/>
      <c r="P25" s="193"/>
      <c r="Q25" s="193"/>
      <c r="R25" s="32"/>
      <c r="S25" s="51"/>
      <c r="T25" s="51"/>
      <c r="U25" s="51"/>
      <c r="V25" s="51"/>
      <c r="W25" s="51"/>
    </row>
    <row r="26" spans="1:25" hidden="1" x14ac:dyDescent="0.3">
      <c r="M26" s="193"/>
      <c r="O26" s="193"/>
      <c r="P26" s="193"/>
      <c r="Q26" s="193"/>
      <c r="R26" s="32"/>
      <c r="S26" s="51"/>
      <c r="T26" s="51"/>
      <c r="U26" s="51"/>
      <c r="V26" s="51"/>
      <c r="W26" s="51"/>
    </row>
    <row r="27" spans="1:25" hidden="1" x14ac:dyDescent="0.3">
      <c r="M27" s="193"/>
      <c r="O27" s="193"/>
      <c r="P27" s="193"/>
      <c r="Q27" s="193"/>
      <c r="R27" s="32"/>
      <c r="S27" s="51"/>
      <c r="T27" s="51"/>
      <c r="U27" s="51"/>
      <c r="V27" s="51"/>
      <c r="W27" s="51"/>
    </row>
    <row r="28" spans="1:25" hidden="1" x14ac:dyDescent="0.3">
      <c r="R28" s="207"/>
    </row>
    <row r="29" spans="1:25" hidden="1" x14ac:dyDescent="0.3">
      <c r="K29" s="207"/>
      <c r="R29" s="207"/>
      <c r="S29" s="207"/>
      <c r="U29" s="207"/>
    </row>
    <row r="30" spans="1:25" hidden="1" x14ac:dyDescent="0.3">
      <c r="I30" s="44" t="s">
        <v>678</v>
      </c>
      <c r="J30" s="323">
        <f>I18+F18</f>
        <v>1520946975.29</v>
      </c>
      <c r="R30" s="207"/>
      <c r="S30" s="207"/>
      <c r="U30" s="207"/>
    </row>
    <row r="31" spans="1:25" hidden="1" x14ac:dyDescent="0.3">
      <c r="R31" s="207"/>
      <c r="U31" s="207"/>
    </row>
    <row r="32" spans="1:25" hidden="1" x14ac:dyDescent="0.3">
      <c r="I32" s="44" t="s">
        <v>678</v>
      </c>
      <c r="J32" s="323">
        <f>E18-J18</f>
        <v>216259084.71000028</v>
      </c>
      <c r="R32" s="207"/>
    </row>
    <row r="33" spans="1:36" s="44" customFormat="1" hidden="1" x14ac:dyDescent="0.3">
      <c r="A33" s="43"/>
      <c r="J33" s="32"/>
      <c r="N33" s="32"/>
      <c r="R33" s="207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36" s="44" customFormat="1" hidden="1" x14ac:dyDescent="0.3">
      <c r="A34" s="43"/>
      <c r="I34" s="44" t="s">
        <v>678</v>
      </c>
      <c r="J34" s="323">
        <f>N18+Q18-R18</f>
        <v>408467290.47000003</v>
      </c>
      <c r="N34" s="32"/>
      <c r="R34" s="207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pans="1:36" s="44" customFormat="1" hidden="1" x14ac:dyDescent="0.3">
      <c r="A35" s="43"/>
      <c r="J35" s="32"/>
      <c r="N35" s="32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</row>
    <row r="36" spans="1:36" s="44" customFormat="1" hidden="1" x14ac:dyDescent="0.3">
      <c r="A36" s="43"/>
      <c r="I36" s="44" t="s">
        <v>678</v>
      </c>
      <c r="J36" s="323">
        <f>L18-R18</f>
        <v>434621264.75999999</v>
      </c>
      <c r="N36" s="32"/>
      <c r="U36" s="207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</row>
    <row r="37" spans="1:36" s="44" customFormat="1" hidden="1" x14ac:dyDescent="0.3">
      <c r="A37" s="43"/>
      <c r="J37" s="32"/>
      <c r="N37" s="32"/>
      <c r="U37" s="207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</row>
    <row r="38" spans="1:36" s="44" customFormat="1" hidden="1" x14ac:dyDescent="0.3">
      <c r="A38" s="43"/>
      <c r="J38" s="32"/>
      <c r="N38" s="32"/>
      <c r="U38" s="207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</sheetData>
  <sheetProtection algorithmName="SHA-512" hashValue="rsvjEvWde4knb4vtf4XqDqeXPmKMBoHtilwhu6l4gPkaeUdj4Ai+ZKQVWhOjTGkuF/Y44BA3Gw2uvXQCR4aBvw==" saltValue="PqXuEhDuvhTHrvp7RoPifg==" spinCount="100000" sheet="1" formatCells="0" formatColumns="0" formatRows="0" insertColumns="0" insertRows="0" insertHyperlinks="0" deleteColumns="0" deleteRows="0" sort="0" autoFilter="0" pivotTables="0"/>
  <mergeCells count="4">
    <mergeCell ref="A1:W1"/>
    <mergeCell ref="B3:M3"/>
    <mergeCell ref="N3:O3"/>
    <mergeCell ref="R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E28" sqref="E28"/>
    </sheetView>
  </sheetViews>
  <sheetFormatPr defaultRowHeight="13.2" x14ac:dyDescent="0.25"/>
  <sheetData/>
  <sheetProtection algorithmName="SHA-512" hashValue="gOihmaQamnlJ9ASetU4558fhMJvDLjUHN9HRewq+S1OjAkA4AAfq1fODCBX/ziIhcd/cvW3/PNdtOlvlWDmciw==" saltValue="FFDATqepvZqfjMfQXLi1b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19"/>
  <sheetViews>
    <sheetView rightToLeft="1" workbookViewId="0">
      <selection activeCell="E28" sqref="E28"/>
    </sheetView>
  </sheetViews>
  <sheetFormatPr defaultRowHeight="15.6" x14ac:dyDescent="0.3"/>
  <cols>
    <col min="1" max="1" width="4.109375" style="299" customWidth="1"/>
    <col min="2" max="2" width="25.5546875" style="299" customWidth="1"/>
    <col min="3" max="3" width="13.33203125" style="301" hidden="1" customWidth="1"/>
    <col min="4" max="4" width="11" style="301" customWidth="1"/>
    <col min="5" max="5" width="9.109375" style="301" hidden="1" customWidth="1"/>
    <col min="6" max="6" width="8.88671875" style="301" customWidth="1"/>
    <col min="7" max="8" width="10.6640625" style="301" customWidth="1"/>
    <col min="9" max="9" width="10" style="301" customWidth="1"/>
    <col min="10" max="10" width="10.44140625" style="301" customWidth="1"/>
    <col min="11" max="11" width="8.6640625" style="301" customWidth="1"/>
    <col min="12" max="12" width="2.6640625" style="301" hidden="1" customWidth="1"/>
    <col min="13" max="13" width="10.109375" style="301" bestFit="1" customWidth="1"/>
    <col min="14" max="14" width="10.109375" style="301" customWidth="1"/>
    <col min="15" max="15" width="10.33203125" style="301" customWidth="1"/>
    <col min="16" max="16" width="10" style="301" customWidth="1"/>
    <col min="17" max="17" width="12.88671875" style="299" customWidth="1"/>
    <col min="18" max="19" width="9.109375" style="299"/>
    <col min="20" max="20" width="12.109375" style="299" customWidth="1"/>
    <col min="21" max="21" width="9.109375" style="299" customWidth="1"/>
    <col min="22" max="256" width="9.109375" style="299"/>
    <col min="257" max="257" width="4.109375" style="299" customWidth="1"/>
    <col min="258" max="258" width="25.5546875" style="299" customWidth="1"/>
    <col min="259" max="259" width="0" style="299" hidden="1" customWidth="1"/>
    <col min="260" max="260" width="9.109375" style="299" bestFit="1" customWidth="1"/>
    <col min="261" max="261" width="9.109375" style="299" customWidth="1"/>
    <col min="262" max="262" width="8.88671875" style="299" customWidth="1"/>
    <col min="263" max="264" width="10.6640625" style="299" customWidth="1"/>
    <col min="265" max="265" width="10" style="299" customWidth="1"/>
    <col min="266" max="266" width="10.44140625" style="299" customWidth="1"/>
    <col min="267" max="267" width="8.6640625" style="299" customWidth="1"/>
    <col min="268" max="268" width="0" style="299" hidden="1" customWidth="1"/>
    <col min="269" max="269" width="10.109375" style="299" bestFit="1" customWidth="1"/>
    <col min="270" max="270" width="10.109375" style="299" customWidth="1"/>
    <col min="271" max="271" width="0" style="299" hidden="1" customWidth="1"/>
    <col min="272" max="272" width="10" style="299" customWidth="1"/>
    <col min="273" max="273" width="12.88671875" style="299" customWidth="1"/>
    <col min="274" max="512" width="9.109375" style="299"/>
    <col min="513" max="513" width="4.109375" style="299" customWidth="1"/>
    <col min="514" max="514" width="25.5546875" style="299" customWidth="1"/>
    <col min="515" max="515" width="0" style="299" hidden="1" customWidth="1"/>
    <col min="516" max="516" width="9.109375" style="299" bestFit="1" customWidth="1"/>
    <col min="517" max="517" width="9.109375" style="299" customWidth="1"/>
    <col min="518" max="518" width="8.88671875" style="299" customWidth="1"/>
    <col min="519" max="520" width="10.6640625" style="299" customWidth="1"/>
    <col min="521" max="521" width="10" style="299" customWidth="1"/>
    <col min="522" max="522" width="10.44140625" style="299" customWidth="1"/>
    <col min="523" max="523" width="8.6640625" style="299" customWidth="1"/>
    <col min="524" max="524" width="0" style="299" hidden="1" customWidth="1"/>
    <col min="525" max="525" width="10.109375" style="299" bestFit="1" customWidth="1"/>
    <col min="526" max="526" width="10.109375" style="299" customWidth="1"/>
    <col min="527" max="527" width="0" style="299" hidden="1" customWidth="1"/>
    <col min="528" max="528" width="10" style="299" customWidth="1"/>
    <col min="529" max="529" width="12.88671875" style="299" customWidth="1"/>
    <col min="530" max="768" width="9.109375" style="299"/>
    <col min="769" max="769" width="4.109375" style="299" customWidth="1"/>
    <col min="770" max="770" width="25.5546875" style="299" customWidth="1"/>
    <col min="771" max="771" width="0" style="299" hidden="1" customWidth="1"/>
    <col min="772" max="772" width="9.109375" style="299" bestFit="1" customWidth="1"/>
    <col min="773" max="773" width="9.109375" style="299" customWidth="1"/>
    <col min="774" max="774" width="8.88671875" style="299" customWidth="1"/>
    <col min="775" max="776" width="10.6640625" style="299" customWidth="1"/>
    <col min="777" max="777" width="10" style="299" customWidth="1"/>
    <col min="778" max="778" width="10.44140625" style="299" customWidth="1"/>
    <col min="779" max="779" width="8.6640625" style="299" customWidth="1"/>
    <col min="780" max="780" width="0" style="299" hidden="1" customWidth="1"/>
    <col min="781" max="781" width="10.109375" style="299" bestFit="1" customWidth="1"/>
    <col min="782" max="782" width="10.109375" style="299" customWidth="1"/>
    <col min="783" max="783" width="0" style="299" hidden="1" customWidth="1"/>
    <col min="784" max="784" width="10" style="299" customWidth="1"/>
    <col min="785" max="785" width="12.88671875" style="299" customWidth="1"/>
    <col min="786" max="1024" width="9.109375" style="299"/>
    <col min="1025" max="1025" width="4.109375" style="299" customWidth="1"/>
    <col min="1026" max="1026" width="25.5546875" style="299" customWidth="1"/>
    <col min="1027" max="1027" width="0" style="299" hidden="1" customWidth="1"/>
    <col min="1028" max="1028" width="9.109375" style="299" bestFit="1" customWidth="1"/>
    <col min="1029" max="1029" width="9.109375" style="299" customWidth="1"/>
    <col min="1030" max="1030" width="8.88671875" style="299" customWidth="1"/>
    <col min="1031" max="1032" width="10.6640625" style="299" customWidth="1"/>
    <col min="1033" max="1033" width="10" style="299" customWidth="1"/>
    <col min="1034" max="1034" width="10.44140625" style="299" customWidth="1"/>
    <col min="1035" max="1035" width="8.6640625" style="299" customWidth="1"/>
    <col min="1036" max="1036" width="0" style="299" hidden="1" customWidth="1"/>
    <col min="1037" max="1037" width="10.109375" style="299" bestFit="1" customWidth="1"/>
    <col min="1038" max="1038" width="10.109375" style="299" customWidth="1"/>
    <col min="1039" max="1039" width="0" style="299" hidden="1" customWidth="1"/>
    <col min="1040" max="1040" width="10" style="299" customWidth="1"/>
    <col min="1041" max="1041" width="12.88671875" style="299" customWidth="1"/>
    <col min="1042" max="1280" width="9.109375" style="299"/>
    <col min="1281" max="1281" width="4.109375" style="299" customWidth="1"/>
    <col min="1282" max="1282" width="25.5546875" style="299" customWidth="1"/>
    <col min="1283" max="1283" width="0" style="299" hidden="1" customWidth="1"/>
    <col min="1284" max="1284" width="9.109375" style="299" bestFit="1" customWidth="1"/>
    <col min="1285" max="1285" width="9.109375" style="299" customWidth="1"/>
    <col min="1286" max="1286" width="8.88671875" style="299" customWidth="1"/>
    <col min="1287" max="1288" width="10.6640625" style="299" customWidth="1"/>
    <col min="1289" max="1289" width="10" style="299" customWidth="1"/>
    <col min="1290" max="1290" width="10.44140625" style="299" customWidth="1"/>
    <col min="1291" max="1291" width="8.6640625" style="299" customWidth="1"/>
    <col min="1292" max="1292" width="0" style="299" hidden="1" customWidth="1"/>
    <col min="1293" max="1293" width="10.109375" style="299" bestFit="1" customWidth="1"/>
    <col min="1294" max="1294" width="10.109375" style="299" customWidth="1"/>
    <col min="1295" max="1295" width="0" style="299" hidden="1" customWidth="1"/>
    <col min="1296" max="1296" width="10" style="299" customWidth="1"/>
    <col min="1297" max="1297" width="12.88671875" style="299" customWidth="1"/>
    <col min="1298" max="1536" width="9.109375" style="299"/>
    <col min="1537" max="1537" width="4.109375" style="299" customWidth="1"/>
    <col min="1538" max="1538" width="25.5546875" style="299" customWidth="1"/>
    <col min="1539" max="1539" width="0" style="299" hidden="1" customWidth="1"/>
    <col min="1540" max="1540" width="9.109375" style="299" bestFit="1" customWidth="1"/>
    <col min="1541" max="1541" width="9.109375" style="299" customWidth="1"/>
    <col min="1542" max="1542" width="8.88671875" style="299" customWidth="1"/>
    <col min="1543" max="1544" width="10.6640625" style="299" customWidth="1"/>
    <col min="1545" max="1545" width="10" style="299" customWidth="1"/>
    <col min="1546" max="1546" width="10.44140625" style="299" customWidth="1"/>
    <col min="1547" max="1547" width="8.6640625" style="299" customWidth="1"/>
    <col min="1548" max="1548" width="0" style="299" hidden="1" customWidth="1"/>
    <col min="1549" max="1549" width="10.109375" style="299" bestFit="1" customWidth="1"/>
    <col min="1550" max="1550" width="10.109375" style="299" customWidth="1"/>
    <col min="1551" max="1551" width="0" style="299" hidden="1" customWidth="1"/>
    <col min="1552" max="1552" width="10" style="299" customWidth="1"/>
    <col min="1553" max="1553" width="12.88671875" style="299" customWidth="1"/>
    <col min="1554" max="1792" width="9.109375" style="299"/>
    <col min="1793" max="1793" width="4.109375" style="299" customWidth="1"/>
    <col min="1794" max="1794" width="25.5546875" style="299" customWidth="1"/>
    <col min="1795" max="1795" width="0" style="299" hidden="1" customWidth="1"/>
    <col min="1796" max="1796" width="9.109375" style="299" bestFit="1" customWidth="1"/>
    <col min="1797" max="1797" width="9.109375" style="299" customWidth="1"/>
    <col min="1798" max="1798" width="8.88671875" style="299" customWidth="1"/>
    <col min="1799" max="1800" width="10.6640625" style="299" customWidth="1"/>
    <col min="1801" max="1801" width="10" style="299" customWidth="1"/>
    <col min="1802" max="1802" width="10.44140625" style="299" customWidth="1"/>
    <col min="1803" max="1803" width="8.6640625" style="299" customWidth="1"/>
    <col min="1804" max="1804" width="0" style="299" hidden="1" customWidth="1"/>
    <col min="1805" max="1805" width="10.109375" style="299" bestFit="1" customWidth="1"/>
    <col min="1806" max="1806" width="10.109375" style="299" customWidth="1"/>
    <col min="1807" max="1807" width="0" style="299" hidden="1" customWidth="1"/>
    <col min="1808" max="1808" width="10" style="299" customWidth="1"/>
    <col min="1809" max="1809" width="12.88671875" style="299" customWidth="1"/>
    <col min="1810" max="2048" width="9.109375" style="299"/>
    <col min="2049" max="2049" width="4.109375" style="299" customWidth="1"/>
    <col min="2050" max="2050" width="25.5546875" style="299" customWidth="1"/>
    <col min="2051" max="2051" width="0" style="299" hidden="1" customWidth="1"/>
    <col min="2052" max="2052" width="9.109375" style="299" bestFit="1" customWidth="1"/>
    <col min="2053" max="2053" width="9.109375" style="299" customWidth="1"/>
    <col min="2054" max="2054" width="8.88671875" style="299" customWidth="1"/>
    <col min="2055" max="2056" width="10.6640625" style="299" customWidth="1"/>
    <col min="2057" max="2057" width="10" style="299" customWidth="1"/>
    <col min="2058" max="2058" width="10.44140625" style="299" customWidth="1"/>
    <col min="2059" max="2059" width="8.6640625" style="299" customWidth="1"/>
    <col min="2060" max="2060" width="0" style="299" hidden="1" customWidth="1"/>
    <col min="2061" max="2061" width="10.109375" style="299" bestFit="1" customWidth="1"/>
    <col min="2062" max="2062" width="10.109375" style="299" customWidth="1"/>
    <col min="2063" max="2063" width="0" style="299" hidden="1" customWidth="1"/>
    <col min="2064" max="2064" width="10" style="299" customWidth="1"/>
    <col min="2065" max="2065" width="12.88671875" style="299" customWidth="1"/>
    <col min="2066" max="2304" width="9.109375" style="299"/>
    <col min="2305" max="2305" width="4.109375" style="299" customWidth="1"/>
    <col min="2306" max="2306" width="25.5546875" style="299" customWidth="1"/>
    <col min="2307" max="2307" width="0" style="299" hidden="1" customWidth="1"/>
    <col min="2308" max="2308" width="9.109375" style="299" bestFit="1" customWidth="1"/>
    <col min="2309" max="2309" width="9.109375" style="299" customWidth="1"/>
    <col min="2310" max="2310" width="8.88671875" style="299" customWidth="1"/>
    <col min="2311" max="2312" width="10.6640625" style="299" customWidth="1"/>
    <col min="2313" max="2313" width="10" style="299" customWidth="1"/>
    <col min="2314" max="2314" width="10.44140625" style="299" customWidth="1"/>
    <col min="2315" max="2315" width="8.6640625" style="299" customWidth="1"/>
    <col min="2316" max="2316" width="0" style="299" hidden="1" customWidth="1"/>
    <col min="2317" max="2317" width="10.109375" style="299" bestFit="1" customWidth="1"/>
    <col min="2318" max="2318" width="10.109375" style="299" customWidth="1"/>
    <col min="2319" max="2319" width="0" style="299" hidden="1" customWidth="1"/>
    <col min="2320" max="2320" width="10" style="299" customWidth="1"/>
    <col min="2321" max="2321" width="12.88671875" style="299" customWidth="1"/>
    <col min="2322" max="2560" width="9.109375" style="299"/>
    <col min="2561" max="2561" width="4.109375" style="299" customWidth="1"/>
    <col min="2562" max="2562" width="25.5546875" style="299" customWidth="1"/>
    <col min="2563" max="2563" width="0" style="299" hidden="1" customWidth="1"/>
    <col min="2564" max="2564" width="9.109375" style="299" bestFit="1" customWidth="1"/>
    <col min="2565" max="2565" width="9.109375" style="299" customWidth="1"/>
    <col min="2566" max="2566" width="8.88671875" style="299" customWidth="1"/>
    <col min="2567" max="2568" width="10.6640625" style="299" customWidth="1"/>
    <col min="2569" max="2569" width="10" style="299" customWidth="1"/>
    <col min="2570" max="2570" width="10.44140625" style="299" customWidth="1"/>
    <col min="2571" max="2571" width="8.6640625" style="299" customWidth="1"/>
    <col min="2572" max="2572" width="0" style="299" hidden="1" customWidth="1"/>
    <col min="2573" max="2573" width="10.109375" style="299" bestFit="1" customWidth="1"/>
    <col min="2574" max="2574" width="10.109375" style="299" customWidth="1"/>
    <col min="2575" max="2575" width="0" style="299" hidden="1" customWidth="1"/>
    <col min="2576" max="2576" width="10" style="299" customWidth="1"/>
    <col min="2577" max="2577" width="12.88671875" style="299" customWidth="1"/>
    <col min="2578" max="2816" width="9.109375" style="299"/>
    <col min="2817" max="2817" width="4.109375" style="299" customWidth="1"/>
    <col min="2818" max="2818" width="25.5546875" style="299" customWidth="1"/>
    <col min="2819" max="2819" width="0" style="299" hidden="1" customWidth="1"/>
    <col min="2820" max="2820" width="9.109375" style="299" bestFit="1" customWidth="1"/>
    <col min="2821" max="2821" width="9.109375" style="299" customWidth="1"/>
    <col min="2822" max="2822" width="8.88671875" style="299" customWidth="1"/>
    <col min="2823" max="2824" width="10.6640625" style="299" customWidth="1"/>
    <col min="2825" max="2825" width="10" style="299" customWidth="1"/>
    <col min="2826" max="2826" width="10.44140625" style="299" customWidth="1"/>
    <col min="2827" max="2827" width="8.6640625" style="299" customWidth="1"/>
    <col min="2828" max="2828" width="0" style="299" hidden="1" customWidth="1"/>
    <col min="2829" max="2829" width="10.109375" style="299" bestFit="1" customWidth="1"/>
    <col min="2830" max="2830" width="10.109375" style="299" customWidth="1"/>
    <col min="2831" max="2831" width="0" style="299" hidden="1" customWidth="1"/>
    <col min="2832" max="2832" width="10" style="299" customWidth="1"/>
    <col min="2833" max="2833" width="12.88671875" style="299" customWidth="1"/>
    <col min="2834" max="3072" width="9.109375" style="299"/>
    <col min="3073" max="3073" width="4.109375" style="299" customWidth="1"/>
    <col min="3074" max="3074" width="25.5546875" style="299" customWidth="1"/>
    <col min="3075" max="3075" width="0" style="299" hidden="1" customWidth="1"/>
    <col min="3076" max="3076" width="9.109375" style="299" bestFit="1" customWidth="1"/>
    <col min="3077" max="3077" width="9.109375" style="299" customWidth="1"/>
    <col min="3078" max="3078" width="8.88671875" style="299" customWidth="1"/>
    <col min="3079" max="3080" width="10.6640625" style="299" customWidth="1"/>
    <col min="3081" max="3081" width="10" style="299" customWidth="1"/>
    <col min="3082" max="3082" width="10.44140625" style="299" customWidth="1"/>
    <col min="3083" max="3083" width="8.6640625" style="299" customWidth="1"/>
    <col min="3084" max="3084" width="0" style="299" hidden="1" customWidth="1"/>
    <col min="3085" max="3085" width="10.109375" style="299" bestFit="1" customWidth="1"/>
    <col min="3086" max="3086" width="10.109375" style="299" customWidth="1"/>
    <col min="3087" max="3087" width="0" style="299" hidden="1" customWidth="1"/>
    <col min="3088" max="3088" width="10" style="299" customWidth="1"/>
    <col min="3089" max="3089" width="12.88671875" style="299" customWidth="1"/>
    <col min="3090" max="3328" width="9.109375" style="299"/>
    <col min="3329" max="3329" width="4.109375" style="299" customWidth="1"/>
    <col min="3330" max="3330" width="25.5546875" style="299" customWidth="1"/>
    <col min="3331" max="3331" width="0" style="299" hidden="1" customWidth="1"/>
    <col min="3332" max="3332" width="9.109375" style="299" bestFit="1" customWidth="1"/>
    <col min="3333" max="3333" width="9.109375" style="299" customWidth="1"/>
    <col min="3334" max="3334" width="8.88671875" style="299" customWidth="1"/>
    <col min="3335" max="3336" width="10.6640625" style="299" customWidth="1"/>
    <col min="3337" max="3337" width="10" style="299" customWidth="1"/>
    <col min="3338" max="3338" width="10.44140625" style="299" customWidth="1"/>
    <col min="3339" max="3339" width="8.6640625" style="299" customWidth="1"/>
    <col min="3340" max="3340" width="0" style="299" hidden="1" customWidth="1"/>
    <col min="3341" max="3341" width="10.109375" style="299" bestFit="1" customWidth="1"/>
    <col min="3342" max="3342" width="10.109375" style="299" customWidth="1"/>
    <col min="3343" max="3343" width="0" style="299" hidden="1" customWidth="1"/>
    <col min="3344" max="3344" width="10" style="299" customWidth="1"/>
    <col min="3345" max="3345" width="12.88671875" style="299" customWidth="1"/>
    <col min="3346" max="3584" width="9.109375" style="299"/>
    <col min="3585" max="3585" width="4.109375" style="299" customWidth="1"/>
    <col min="3586" max="3586" width="25.5546875" style="299" customWidth="1"/>
    <col min="3587" max="3587" width="0" style="299" hidden="1" customWidth="1"/>
    <col min="3588" max="3588" width="9.109375" style="299" bestFit="1" customWidth="1"/>
    <col min="3589" max="3589" width="9.109375" style="299" customWidth="1"/>
    <col min="3590" max="3590" width="8.88671875" style="299" customWidth="1"/>
    <col min="3591" max="3592" width="10.6640625" style="299" customWidth="1"/>
    <col min="3593" max="3593" width="10" style="299" customWidth="1"/>
    <col min="3594" max="3594" width="10.44140625" style="299" customWidth="1"/>
    <col min="3595" max="3595" width="8.6640625" style="299" customWidth="1"/>
    <col min="3596" max="3596" width="0" style="299" hidden="1" customWidth="1"/>
    <col min="3597" max="3597" width="10.109375" style="299" bestFit="1" customWidth="1"/>
    <col min="3598" max="3598" width="10.109375" style="299" customWidth="1"/>
    <col min="3599" max="3599" width="0" style="299" hidden="1" customWidth="1"/>
    <col min="3600" max="3600" width="10" style="299" customWidth="1"/>
    <col min="3601" max="3601" width="12.88671875" style="299" customWidth="1"/>
    <col min="3602" max="3840" width="9.109375" style="299"/>
    <col min="3841" max="3841" width="4.109375" style="299" customWidth="1"/>
    <col min="3842" max="3842" width="25.5546875" style="299" customWidth="1"/>
    <col min="3843" max="3843" width="0" style="299" hidden="1" customWidth="1"/>
    <col min="3844" max="3844" width="9.109375" style="299" bestFit="1" customWidth="1"/>
    <col min="3845" max="3845" width="9.109375" style="299" customWidth="1"/>
    <col min="3846" max="3846" width="8.88671875" style="299" customWidth="1"/>
    <col min="3847" max="3848" width="10.6640625" style="299" customWidth="1"/>
    <col min="3849" max="3849" width="10" style="299" customWidth="1"/>
    <col min="3850" max="3850" width="10.44140625" style="299" customWidth="1"/>
    <col min="3851" max="3851" width="8.6640625" style="299" customWidth="1"/>
    <col min="3852" max="3852" width="0" style="299" hidden="1" customWidth="1"/>
    <col min="3853" max="3853" width="10.109375" style="299" bestFit="1" customWidth="1"/>
    <col min="3854" max="3854" width="10.109375" style="299" customWidth="1"/>
    <col min="3855" max="3855" width="0" style="299" hidden="1" customWidth="1"/>
    <col min="3856" max="3856" width="10" style="299" customWidth="1"/>
    <col min="3857" max="3857" width="12.88671875" style="299" customWidth="1"/>
    <col min="3858" max="4096" width="9.109375" style="299"/>
    <col min="4097" max="4097" width="4.109375" style="299" customWidth="1"/>
    <col min="4098" max="4098" width="25.5546875" style="299" customWidth="1"/>
    <col min="4099" max="4099" width="0" style="299" hidden="1" customWidth="1"/>
    <col min="4100" max="4100" width="9.109375" style="299" bestFit="1" customWidth="1"/>
    <col min="4101" max="4101" width="9.109375" style="299" customWidth="1"/>
    <col min="4102" max="4102" width="8.88671875" style="299" customWidth="1"/>
    <col min="4103" max="4104" width="10.6640625" style="299" customWidth="1"/>
    <col min="4105" max="4105" width="10" style="299" customWidth="1"/>
    <col min="4106" max="4106" width="10.44140625" style="299" customWidth="1"/>
    <col min="4107" max="4107" width="8.6640625" style="299" customWidth="1"/>
    <col min="4108" max="4108" width="0" style="299" hidden="1" customWidth="1"/>
    <col min="4109" max="4109" width="10.109375" style="299" bestFit="1" customWidth="1"/>
    <col min="4110" max="4110" width="10.109375" style="299" customWidth="1"/>
    <col min="4111" max="4111" width="0" style="299" hidden="1" customWidth="1"/>
    <col min="4112" max="4112" width="10" style="299" customWidth="1"/>
    <col min="4113" max="4113" width="12.88671875" style="299" customWidth="1"/>
    <col min="4114" max="4352" width="9.109375" style="299"/>
    <col min="4353" max="4353" width="4.109375" style="299" customWidth="1"/>
    <col min="4354" max="4354" width="25.5546875" style="299" customWidth="1"/>
    <col min="4355" max="4355" width="0" style="299" hidden="1" customWidth="1"/>
    <col min="4356" max="4356" width="9.109375" style="299" bestFit="1" customWidth="1"/>
    <col min="4357" max="4357" width="9.109375" style="299" customWidth="1"/>
    <col min="4358" max="4358" width="8.88671875" style="299" customWidth="1"/>
    <col min="4359" max="4360" width="10.6640625" style="299" customWidth="1"/>
    <col min="4361" max="4361" width="10" style="299" customWidth="1"/>
    <col min="4362" max="4362" width="10.44140625" style="299" customWidth="1"/>
    <col min="4363" max="4363" width="8.6640625" style="299" customWidth="1"/>
    <col min="4364" max="4364" width="0" style="299" hidden="1" customWidth="1"/>
    <col min="4365" max="4365" width="10.109375" style="299" bestFit="1" customWidth="1"/>
    <col min="4366" max="4366" width="10.109375" style="299" customWidth="1"/>
    <col min="4367" max="4367" width="0" style="299" hidden="1" customWidth="1"/>
    <col min="4368" max="4368" width="10" style="299" customWidth="1"/>
    <col min="4369" max="4369" width="12.88671875" style="299" customWidth="1"/>
    <col min="4370" max="4608" width="9.109375" style="299"/>
    <col min="4609" max="4609" width="4.109375" style="299" customWidth="1"/>
    <col min="4610" max="4610" width="25.5546875" style="299" customWidth="1"/>
    <col min="4611" max="4611" width="0" style="299" hidden="1" customWidth="1"/>
    <col min="4612" max="4612" width="9.109375" style="299" bestFit="1" customWidth="1"/>
    <col min="4613" max="4613" width="9.109375" style="299" customWidth="1"/>
    <col min="4614" max="4614" width="8.88671875" style="299" customWidth="1"/>
    <col min="4615" max="4616" width="10.6640625" style="299" customWidth="1"/>
    <col min="4617" max="4617" width="10" style="299" customWidth="1"/>
    <col min="4618" max="4618" width="10.44140625" style="299" customWidth="1"/>
    <col min="4619" max="4619" width="8.6640625" style="299" customWidth="1"/>
    <col min="4620" max="4620" width="0" style="299" hidden="1" customWidth="1"/>
    <col min="4621" max="4621" width="10.109375" style="299" bestFit="1" customWidth="1"/>
    <col min="4622" max="4622" width="10.109375" style="299" customWidth="1"/>
    <col min="4623" max="4623" width="0" style="299" hidden="1" customWidth="1"/>
    <col min="4624" max="4624" width="10" style="299" customWidth="1"/>
    <col min="4625" max="4625" width="12.88671875" style="299" customWidth="1"/>
    <col min="4626" max="4864" width="9.109375" style="299"/>
    <col min="4865" max="4865" width="4.109375" style="299" customWidth="1"/>
    <col min="4866" max="4866" width="25.5546875" style="299" customWidth="1"/>
    <col min="4867" max="4867" width="0" style="299" hidden="1" customWidth="1"/>
    <col min="4868" max="4868" width="9.109375" style="299" bestFit="1" customWidth="1"/>
    <col min="4869" max="4869" width="9.109375" style="299" customWidth="1"/>
    <col min="4870" max="4870" width="8.88671875" style="299" customWidth="1"/>
    <col min="4871" max="4872" width="10.6640625" style="299" customWidth="1"/>
    <col min="4873" max="4873" width="10" style="299" customWidth="1"/>
    <col min="4874" max="4874" width="10.44140625" style="299" customWidth="1"/>
    <col min="4875" max="4875" width="8.6640625" style="299" customWidth="1"/>
    <col min="4876" max="4876" width="0" style="299" hidden="1" customWidth="1"/>
    <col min="4877" max="4877" width="10.109375" style="299" bestFit="1" customWidth="1"/>
    <col min="4878" max="4878" width="10.109375" style="299" customWidth="1"/>
    <col min="4879" max="4879" width="0" style="299" hidden="1" customWidth="1"/>
    <col min="4880" max="4880" width="10" style="299" customWidth="1"/>
    <col min="4881" max="4881" width="12.88671875" style="299" customWidth="1"/>
    <col min="4882" max="5120" width="9.109375" style="299"/>
    <col min="5121" max="5121" width="4.109375" style="299" customWidth="1"/>
    <col min="5122" max="5122" width="25.5546875" style="299" customWidth="1"/>
    <col min="5123" max="5123" width="0" style="299" hidden="1" customWidth="1"/>
    <col min="5124" max="5124" width="9.109375" style="299" bestFit="1" customWidth="1"/>
    <col min="5125" max="5125" width="9.109375" style="299" customWidth="1"/>
    <col min="5126" max="5126" width="8.88671875" style="299" customWidth="1"/>
    <col min="5127" max="5128" width="10.6640625" style="299" customWidth="1"/>
    <col min="5129" max="5129" width="10" style="299" customWidth="1"/>
    <col min="5130" max="5130" width="10.44140625" style="299" customWidth="1"/>
    <col min="5131" max="5131" width="8.6640625" style="299" customWidth="1"/>
    <col min="5132" max="5132" width="0" style="299" hidden="1" customWidth="1"/>
    <col min="5133" max="5133" width="10.109375" style="299" bestFit="1" customWidth="1"/>
    <col min="5134" max="5134" width="10.109375" style="299" customWidth="1"/>
    <col min="5135" max="5135" width="0" style="299" hidden="1" customWidth="1"/>
    <col min="5136" max="5136" width="10" style="299" customWidth="1"/>
    <col min="5137" max="5137" width="12.88671875" style="299" customWidth="1"/>
    <col min="5138" max="5376" width="9.109375" style="299"/>
    <col min="5377" max="5377" width="4.109375" style="299" customWidth="1"/>
    <col min="5378" max="5378" width="25.5546875" style="299" customWidth="1"/>
    <col min="5379" max="5379" width="0" style="299" hidden="1" customWidth="1"/>
    <col min="5380" max="5380" width="9.109375" style="299" bestFit="1" customWidth="1"/>
    <col min="5381" max="5381" width="9.109375" style="299" customWidth="1"/>
    <col min="5382" max="5382" width="8.88671875" style="299" customWidth="1"/>
    <col min="5383" max="5384" width="10.6640625" style="299" customWidth="1"/>
    <col min="5385" max="5385" width="10" style="299" customWidth="1"/>
    <col min="5386" max="5386" width="10.44140625" style="299" customWidth="1"/>
    <col min="5387" max="5387" width="8.6640625" style="299" customWidth="1"/>
    <col min="5388" max="5388" width="0" style="299" hidden="1" customWidth="1"/>
    <col min="5389" max="5389" width="10.109375" style="299" bestFit="1" customWidth="1"/>
    <col min="5390" max="5390" width="10.109375" style="299" customWidth="1"/>
    <col min="5391" max="5391" width="0" style="299" hidden="1" customWidth="1"/>
    <col min="5392" max="5392" width="10" style="299" customWidth="1"/>
    <col min="5393" max="5393" width="12.88671875" style="299" customWidth="1"/>
    <col min="5394" max="5632" width="9.109375" style="299"/>
    <col min="5633" max="5633" width="4.109375" style="299" customWidth="1"/>
    <col min="5634" max="5634" width="25.5546875" style="299" customWidth="1"/>
    <col min="5635" max="5635" width="0" style="299" hidden="1" customWidth="1"/>
    <col min="5636" max="5636" width="9.109375" style="299" bestFit="1" customWidth="1"/>
    <col min="5637" max="5637" width="9.109375" style="299" customWidth="1"/>
    <col min="5638" max="5638" width="8.88671875" style="299" customWidth="1"/>
    <col min="5639" max="5640" width="10.6640625" style="299" customWidth="1"/>
    <col min="5641" max="5641" width="10" style="299" customWidth="1"/>
    <col min="5642" max="5642" width="10.44140625" style="299" customWidth="1"/>
    <col min="5643" max="5643" width="8.6640625" style="299" customWidth="1"/>
    <col min="5644" max="5644" width="0" style="299" hidden="1" customWidth="1"/>
    <col min="5645" max="5645" width="10.109375" style="299" bestFit="1" customWidth="1"/>
    <col min="5646" max="5646" width="10.109375" style="299" customWidth="1"/>
    <col min="5647" max="5647" width="0" style="299" hidden="1" customWidth="1"/>
    <col min="5648" max="5648" width="10" style="299" customWidth="1"/>
    <col min="5649" max="5649" width="12.88671875" style="299" customWidth="1"/>
    <col min="5650" max="5888" width="9.109375" style="299"/>
    <col min="5889" max="5889" width="4.109375" style="299" customWidth="1"/>
    <col min="5890" max="5890" width="25.5546875" style="299" customWidth="1"/>
    <col min="5891" max="5891" width="0" style="299" hidden="1" customWidth="1"/>
    <col min="5892" max="5892" width="9.109375" style="299" bestFit="1" customWidth="1"/>
    <col min="5893" max="5893" width="9.109375" style="299" customWidth="1"/>
    <col min="5894" max="5894" width="8.88671875" style="299" customWidth="1"/>
    <col min="5895" max="5896" width="10.6640625" style="299" customWidth="1"/>
    <col min="5897" max="5897" width="10" style="299" customWidth="1"/>
    <col min="5898" max="5898" width="10.44140625" style="299" customWidth="1"/>
    <col min="5899" max="5899" width="8.6640625" style="299" customWidth="1"/>
    <col min="5900" max="5900" width="0" style="299" hidden="1" customWidth="1"/>
    <col min="5901" max="5901" width="10.109375" style="299" bestFit="1" customWidth="1"/>
    <col min="5902" max="5902" width="10.109375" style="299" customWidth="1"/>
    <col min="5903" max="5903" width="0" style="299" hidden="1" customWidth="1"/>
    <col min="5904" max="5904" width="10" style="299" customWidth="1"/>
    <col min="5905" max="5905" width="12.88671875" style="299" customWidth="1"/>
    <col min="5906" max="6144" width="9.109375" style="299"/>
    <col min="6145" max="6145" width="4.109375" style="299" customWidth="1"/>
    <col min="6146" max="6146" width="25.5546875" style="299" customWidth="1"/>
    <col min="6147" max="6147" width="0" style="299" hidden="1" customWidth="1"/>
    <col min="6148" max="6148" width="9.109375" style="299" bestFit="1" customWidth="1"/>
    <col min="6149" max="6149" width="9.109375" style="299" customWidth="1"/>
    <col min="6150" max="6150" width="8.88671875" style="299" customWidth="1"/>
    <col min="6151" max="6152" width="10.6640625" style="299" customWidth="1"/>
    <col min="6153" max="6153" width="10" style="299" customWidth="1"/>
    <col min="6154" max="6154" width="10.44140625" style="299" customWidth="1"/>
    <col min="6155" max="6155" width="8.6640625" style="299" customWidth="1"/>
    <col min="6156" max="6156" width="0" style="299" hidden="1" customWidth="1"/>
    <col min="6157" max="6157" width="10.109375" style="299" bestFit="1" customWidth="1"/>
    <col min="6158" max="6158" width="10.109375" style="299" customWidth="1"/>
    <col min="6159" max="6159" width="0" style="299" hidden="1" customWidth="1"/>
    <col min="6160" max="6160" width="10" style="299" customWidth="1"/>
    <col min="6161" max="6161" width="12.88671875" style="299" customWidth="1"/>
    <col min="6162" max="6400" width="9.109375" style="299"/>
    <col min="6401" max="6401" width="4.109375" style="299" customWidth="1"/>
    <col min="6402" max="6402" width="25.5546875" style="299" customWidth="1"/>
    <col min="6403" max="6403" width="0" style="299" hidden="1" customWidth="1"/>
    <col min="6404" max="6404" width="9.109375" style="299" bestFit="1" customWidth="1"/>
    <col min="6405" max="6405" width="9.109375" style="299" customWidth="1"/>
    <col min="6406" max="6406" width="8.88671875" style="299" customWidth="1"/>
    <col min="6407" max="6408" width="10.6640625" style="299" customWidth="1"/>
    <col min="6409" max="6409" width="10" style="299" customWidth="1"/>
    <col min="6410" max="6410" width="10.44140625" style="299" customWidth="1"/>
    <col min="6411" max="6411" width="8.6640625" style="299" customWidth="1"/>
    <col min="6412" max="6412" width="0" style="299" hidden="1" customWidth="1"/>
    <col min="6413" max="6413" width="10.109375" style="299" bestFit="1" customWidth="1"/>
    <col min="6414" max="6414" width="10.109375" style="299" customWidth="1"/>
    <col min="6415" max="6415" width="0" style="299" hidden="1" customWidth="1"/>
    <col min="6416" max="6416" width="10" style="299" customWidth="1"/>
    <col min="6417" max="6417" width="12.88671875" style="299" customWidth="1"/>
    <col min="6418" max="6656" width="9.109375" style="299"/>
    <col min="6657" max="6657" width="4.109375" style="299" customWidth="1"/>
    <col min="6658" max="6658" width="25.5546875" style="299" customWidth="1"/>
    <col min="6659" max="6659" width="0" style="299" hidden="1" customWidth="1"/>
    <col min="6660" max="6660" width="9.109375" style="299" bestFit="1" customWidth="1"/>
    <col min="6661" max="6661" width="9.109375" style="299" customWidth="1"/>
    <col min="6662" max="6662" width="8.88671875" style="299" customWidth="1"/>
    <col min="6663" max="6664" width="10.6640625" style="299" customWidth="1"/>
    <col min="6665" max="6665" width="10" style="299" customWidth="1"/>
    <col min="6666" max="6666" width="10.44140625" style="299" customWidth="1"/>
    <col min="6667" max="6667" width="8.6640625" style="299" customWidth="1"/>
    <col min="6668" max="6668" width="0" style="299" hidden="1" customWidth="1"/>
    <col min="6669" max="6669" width="10.109375" style="299" bestFit="1" customWidth="1"/>
    <col min="6670" max="6670" width="10.109375" style="299" customWidth="1"/>
    <col min="6671" max="6671" width="0" style="299" hidden="1" customWidth="1"/>
    <col min="6672" max="6672" width="10" style="299" customWidth="1"/>
    <col min="6673" max="6673" width="12.88671875" style="299" customWidth="1"/>
    <col min="6674" max="6912" width="9.109375" style="299"/>
    <col min="6913" max="6913" width="4.109375" style="299" customWidth="1"/>
    <col min="6914" max="6914" width="25.5546875" style="299" customWidth="1"/>
    <col min="6915" max="6915" width="0" style="299" hidden="1" customWidth="1"/>
    <col min="6916" max="6916" width="9.109375" style="299" bestFit="1" customWidth="1"/>
    <col min="6917" max="6917" width="9.109375" style="299" customWidth="1"/>
    <col min="6918" max="6918" width="8.88671875" style="299" customWidth="1"/>
    <col min="6919" max="6920" width="10.6640625" style="299" customWidth="1"/>
    <col min="6921" max="6921" width="10" style="299" customWidth="1"/>
    <col min="6922" max="6922" width="10.44140625" style="299" customWidth="1"/>
    <col min="6923" max="6923" width="8.6640625" style="299" customWidth="1"/>
    <col min="6924" max="6924" width="0" style="299" hidden="1" customWidth="1"/>
    <col min="6925" max="6925" width="10.109375" style="299" bestFit="1" customWidth="1"/>
    <col min="6926" max="6926" width="10.109375" style="299" customWidth="1"/>
    <col min="6927" max="6927" width="0" style="299" hidden="1" customWidth="1"/>
    <col min="6928" max="6928" width="10" style="299" customWidth="1"/>
    <col min="6929" max="6929" width="12.88671875" style="299" customWidth="1"/>
    <col min="6930" max="7168" width="9.109375" style="299"/>
    <col min="7169" max="7169" width="4.109375" style="299" customWidth="1"/>
    <col min="7170" max="7170" width="25.5546875" style="299" customWidth="1"/>
    <col min="7171" max="7171" width="0" style="299" hidden="1" customWidth="1"/>
    <col min="7172" max="7172" width="9.109375" style="299" bestFit="1" customWidth="1"/>
    <col min="7173" max="7173" width="9.109375" style="299" customWidth="1"/>
    <col min="7174" max="7174" width="8.88671875" style="299" customWidth="1"/>
    <col min="7175" max="7176" width="10.6640625" style="299" customWidth="1"/>
    <col min="7177" max="7177" width="10" style="299" customWidth="1"/>
    <col min="7178" max="7178" width="10.44140625" style="299" customWidth="1"/>
    <col min="7179" max="7179" width="8.6640625" style="299" customWidth="1"/>
    <col min="7180" max="7180" width="0" style="299" hidden="1" customWidth="1"/>
    <col min="7181" max="7181" width="10.109375" style="299" bestFit="1" customWidth="1"/>
    <col min="7182" max="7182" width="10.109375" style="299" customWidth="1"/>
    <col min="7183" max="7183" width="0" style="299" hidden="1" customWidth="1"/>
    <col min="7184" max="7184" width="10" style="299" customWidth="1"/>
    <col min="7185" max="7185" width="12.88671875" style="299" customWidth="1"/>
    <col min="7186" max="7424" width="9.109375" style="299"/>
    <col min="7425" max="7425" width="4.109375" style="299" customWidth="1"/>
    <col min="7426" max="7426" width="25.5546875" style="299" customWidth="1"/>
    <col min="7427" max="7427" width="0" style="299" hidden="1" customWidth="1"/>
    <col min="7428" max="7428" width="9.109375" style="299" bestFit="1" customWidth="1"/>
    <col min="7429" max="7429" width="9.109375" style="299" customWidth="1"/>
    <col min="7430" max="7430" width="8.88671875" style="299" customWidth="1"/>
    <col min="7431" max="7432" width="10.6640625" style="299" customWidth="1"/>
    <col min="7433" max="7433" width="10" style="299" customWidth="1"/>
    <col min="7434" max="7434" width="10.44140625" style="299" customWidth="1"/>
    <col min="7435" max="7435" width="8.6640625" style="299" customWidth="1"/>
    <col min="7436" max="7436" width="0" style="299" hidden="1" customWidth="1"/>
    <col min="7437" max="7437" width="10.109375" style="299" bestFit="1" customWidth="1"/>
    <col min="7438" max="7438" width="10.109375" style="299" customWidth="1"/>
    <col min="7439" max="7439" width="0" style="299" hidden="1" customWidth="1"/>
    <col min="7440" max="7440" width="10" style="299" customWidth="1"/>
    <col min="7441" max="7441" width="12.88671875" style="299" customWidth="1"/>
    <col min="7442" max="7680" width="9.109375" style="299"/>
    <col min="7681" max="7681" width="4.109375" style="299" customWidth="1"/>
    <col min="7682" max="7682" width="25.5546875" style="299" customWidth="1"/>
    <col min="7683" max="7683" width="0" style="299" hidden="1" customWidth="1"/>
    <col min="7684" max="7684" width="9.109375" style="299" bestFit="1" customWidth="1"/>
    <col min="7685" max="7685" width="9.109375" style="299" customWidth="1"/>
    <col min="7686" max="7686" width="8.88671875" style="299" customWidth="1"/>
    <col min="7687" max="7688" width="10.6640625" style="299" customWidth="1"/>
    <col min="7689" max="7689" width="10" style="299" customWidth="1"/>
    <col min="7690" max="7690" width="10.44140625" style="299" customWidth="1"/>
    <col min="7691" max="7691" width="8.6640625" style="299" customWidth="1"/>
    <col min="7692" max="7692" width="0" style="299" hidden="1" customWidth="1"/>
    <col min="7693" max="7693" width="10.109375" style="299" bestFit="1" customWidth="1"/>
    <col min="7694" max="7694" width="10.109375" style="299" customWidth="1"/>
    <col min="7695" max="7695" width="0" style="299" hidden="1" customWidth="1"/>
    <col min="7696" max="7696" width="10" style="299" customWidth="1"/>
    <col min="7697" max="7697" width="12.88671875" style="299" customWidth="1"/>
    <col min="7698" max="7936" width="9.109375" style="299"/>
    <col min="7937" max="7937" width="4.109375" style="299" customWidth="1"/>
    <col min="7938" max="7938" width="25.5546875" style="299" customWidth="1"/>
    <col min="7939" max="7939" width="0" style="299" hidden="1" customWidth="1"/>
    <col min="7940" max="7940" width="9.109375" style="299" bestFit="1" customWidth="1"/>
    <col min="7941" max="7941" width="9.109375" style="299" customWidth="1"/>
    <col min="7942" max="7942" width="8.88671875" style="299" customWidth="1"/>
    <col min="7943" max="7944" width="10.6640625" style="299" customWidth="1"/>
    <col min="7945" max="7945" width="10" style="299" customWidth="1"/>
    <col min="7946" max="7946" width="10.44140625" style="299" customWidth="1"/>
    <col min="7947" max="7947" width="8.6640625" style="299" customWidth="1"/>
    <col min="7948" max="7948" width="0" style="299" hidden="1" customWidth="1"/>
    <col min="7949" max="7949" width="10.109375" style="299" bestFit="1" customWidth="1"/>
    <col min="7950" max="7950" width="10.109375" style="299" customWidth="1"/>
    <col min="7951" max="7951" width="0" style="299" hidden="1" customWidth="1"/>
    <col min="7952" max="7952" width="10" style="299" customWidth="1"/>
    <col min="7953" max="7953" width="12.88671875" style="299" customWidth="1"/>
    <col min="7954" max="8192" width="9.109375" style="299"/>
    <col min="8193" max="8193" width="4.109375" style="299" customWidth="1"/>
    <col min="8194" max="8194" width="25.5546875" style="299" customWidth="1"/>
    <col min="8195" max="8195" width="0" style="299" hidden="1" customWidth="1"/>
    <col min="8196" max="8196" width="9.109375" style="299" bestFit="1" customWidth="1"/>
    <col min="8197" max="8197" width="9.109375" style="299" customWidth="1"/>
    <col min="8198" max="8198" width="8.88671875" style="299" customWidth="1"/>
    <col min="8199" max="8200" width="10.6640625" style="299" customWidth="1"/>
    <col min="8201" max="8201" width="10" style="299" customWidth="1"/>
    <col min="8202" max="8202" width="10.44140625" style="299" customWidth="1"/>
    <col min="8203" max="8203" width="8.6640625" style="299" customWidth="1"/>
    <col min="8204" max="8204" width="0" style="299" hidden="1" customWidth="1"/>
    <col min="8205" max="8205" width="10.109375" style="299" bestFit="1" customWidth="1"/>
    <col min="8206" max="8206" width="10.109375" style="299" customWidth="1"/>
    <col min="8207" max="8207" width="0" style="299" hidden="1" customWidth="1"/>
    <col min="8208" max="8208" width="10" style="299" customWidth="1"/>
    <col min="8209" max="8209" width="12.88671875" style="299" customWidth="1"/>
    <col min="8210" max="8448" width="9.109375" style="299"/>
    <col min="8449" max="8449" width="4.109375" style="299" customWidth="1"/>
    <col min="8450" max="8450" width="25.5546875" style="299" customWidth="1"/>
    <col min="8451" max="8451" width="0" style="299" hidden="1" customWidth="1"/>
    <col min="8452" max="8452" width="9.109375" style="299" bestFit="1" customWidth="1"/>
    <col min="8453" max="8453" width="9.109375" style="299" customWidth="1"/>
    <col min="8454" max="8454" width="8.88671875" style="299" customWidth="1"/>
    <col min="8455" max="8456" width="10.6640625" style="299" customWidth="1"/>
    <col min="8457" max="8457" width="10" style="299" customWidth="1"/>
    <col min="8458" max="8458" width="10.44140625" style="299" customWidth="1"/>
    <col min="8459" max="8459" width="8.6640625" style="299" customWidth="1"/>
    <col min="8460" max="8460" width="0" style="299" hidden="1" customWidth="1"/>
    <col min="8461" max="8461" width="10.109375" style="299" bestFit="1" customWidth="1"/>
    <col min="8462" max="8462" width="10.109375" style="299" customWidth="1"/>
    <col min="8463" max="8463" width="0" style="299" hidden="1" customWidth="1"/>
    <col min="8464" max="8464" width="10" style="299" customWidth="1"/>
    <col min="8465" max="8465" width="12.88671875" style="299" customWidth="1"/>
    <col min="8466" max="8704" width="9.109375" style="299"/>
    <col min="8705" max="8705" width="4.109375" style="299" customWidth="1"/>
    <col min="8706" max="8706" width="25.5546875" style="299" customWidth="1"/>
    <col min="8707" max="8707" width="0" style="299" hidden="1" customWidth="1"/>
    <col min="8708" max="8708" width="9.109375" style="299" bestFit="1" customWidth="1"/>
    <col min="8709" max="8709" width="9.109375" style="299" customWidth="1"/>
    <col min="8710" max="8710" width="8.88671875" style="299" customWidth="1"/>
    <col min="8711" max="8712" width="10.6640625" style="299" customWidth="1"/>
    <col min="8713" max="8713" width="10" style="299" customWidth="1"/>
    <col min="8714" max="8714" width="10.44140625" style="299" customWidth="1"/>
    <col min="8715" max="8715" width="8.6640625" style="299" customWidth="1"/>
    <col min="8716" max="8716" width="0" style="299" hidden="1" customWidth="1"/>
    <col min="8717" max="8717" width="10.109375" style="299" bestFit="1" customWidth="1"/>
    <col min="8718" max="8718" width="10.109375" style="299" customWidth="1"/>
    <col min="8719" max="8719" width="0" style="299" hidden="1" customWidth="1"/>
    <col min="8720" max="8720" width="10" style="299" customWidth="1"/>
    <col min="8721" max="8721" width="12.88671875" style="299" customWidth="1"/>
    <col min="8722" max="8960" width="9.109375" style="299"/>
    <col min="8961" max="8961" width="4.109375" style="299" customWidth="1"/>
    <col min="8962" max="8962" width="25.5546875" style="299" customWidth="1"/>
    <col min="8963" max="8963" width="0" style="299" hidden="1" customWidth="1"/>
    <col min="8964" max="8964" width="9.109375" style="299" bestFit="1" customWidth="1"/>
    <col min="8965" max="8965" width="9.109375" style="299" customWidth="1"/>
    <col min="8966" max="8966" width="8.88671875" style="299" customWidth="1"/>
    <col min="8967" max="8968" width="10.6640625" style="299" customWidth="1"/>
    <col min="8969" max="8969" width="10" style="299" customWidth="1"/>
    <col min="8970" max="8970" width="10.44140625" style="299" customWidth="1"/>
    <col min="8971" max="8971" width="8.6640625" style="299" customWidth="1"/>
    <col min="8972" max="8972" width="0" style="299" hidden="1" customWidth="1"/>
    <col min="8973" max="8973" width="10.109375" style="299" bestFit="1" customWidth="1"/>
    <col min="8974" max="8974" width="10.109375" style="299" customWidth="1"/>
    <col min="8975" max="8975" width="0" style="299" hidden="1" customWidth="1"/>
    <col min="8976" max="8976" width="10" style="299" customWidth="1"/>
    <col min="8977" max="8977" width="12.88671875" style="299" customWidth="1"/>
    <col min="8978" max="9216" width="9.109375" style="299"/>
    <col min="9217" max="9217" width="4.109375" style="299" customWidth="1"/>
    <col min="9218" max="9218" width="25.5546875" style="299" customWidth="1"/>
    <col min="9219" max="9219" width="0" style="299" hidden="1" customWidth="1"/>
    <col min="9220" max="9220" width="9.109375" style="299" bestFit="1" customWidth="1"/>
    <col min="9221" max="9221" width="9.109375" style="299" customWidth="1"/>
    <col min="9222" max="9222" width="8.88671875" style="299" customWidth="1"/>
    <col min="9223" max="9224" width="10.6640625" style="299" customWidth="1"/>
    <col min="9225" max="9225" width="10" style="299" customWidth="1"/>
    <col min="9226" max="9226" width="10.44140625" style="299" customWidth="1"/>
    <col min="9227" max="9227" width="8.6640625" style="299" customWidth="1"/>
    <col min="9228" max="9228" width="0" style="299" hidden="1" customWidth="1"/>
    <col min="9229" max="9229" width="10.109375" style="299" bestFit="1" customWidth="1"/>
    <col min="9230" max="9230" width="10.109375" style="299" customWidth="1"/>
    <col min="9231" max="9231" width="0" style="299" hidden="1" customWidth="1"/>
    <col min="9232" max="9232" width="10" style="299" customWidth="1"/>
    <col min="9233" max="9233" width="12.88671875" style="299" customWidth="1"/>
    <col min="9234" max="9472" width="9.109375" style="299"/>
    <col min="9473" max="9473" width="4.109375" style="299" customWidth="1"/>
    <col min="9474" max="9474" width="25.5546875" style="299" customWidth="1"/>
    <col min="9475" max="9475" width="0" style="299" hidden="1" customWidth="1"/>
    <col min="9476" max="9476" width="9.109375" style="299" bestFit="1" customWidth="1"/>
    <col min="9477" max="9477" width="9.109375" style="299" customWidth="1"/>
    <col min="9478" max="9478" width="8.88671875" style="299" customWidth="1"/>
    <col min="9479" max="9480" width="10.6640625" style="299" customWidth="1"/>
    <col min="9481" max="9481" width="10" style="299" customWidth="1"/>
    <col min="9482" max="9482" width="10.44140625" style="299" customWidth="1"/>
    <col min="9483" max="9483" width="8.6640625" style="299" customWidth="1"/>
    <col min="9484" max="9484" width="0" style="299" hidden="1" customWidth="1"/>
    <col min="9485" max="9485" width="10.109375" style="299" bestFit="1" customWidth="1"/>
    <col min="9486" max="9486" width="10.109375" style="299" customWidth="1"/>
    <col min="9487" max="9487" width="0" style="299" hidden="1" customWidth="1"/>
    <col min="9488" max="9488" width="10" style="299" customWidth="1"/>
    <col min="9489" max="9489" width="12.88671875" style="299" customWidth="1"/>
    <col min="9490" max="9728" width="9.109375" style="299"/>
    <col min="9729" max="9729" width="4.109375" style="299" customWidth="1"/>
    <col min="9730" max="9730" width="25.5546875" style="299" customWidth="1"/>
    <col min="9731" max="9731" width="0" style="299" hidden="1" customWidth="1"/>
    <col min="9732" max="9732" width="9.109375" style="299" bestFit="1" customWidth="1"/>
    <col min="9733" max="9733" width="9.109375" style="299" customWidth="1"/>
    <col min="9734" max="9734" width="8.88671875" style="299" customWidth="1"/>
    <col min="9735" max="9736" width="10.6640625" style="299" customWidth="1"/>
    <col min="9737" max="9737" width="10" style="299" customWidth="1"/>
    <col min="9738" max="9738" width="10.44140625" style="299" customWidth="1"/>
    <col min="9739" max="9739" width="8.6640625" style="299" customWidth="1"/>
    <col min="9740" max="9740" width="0" style="299" hidden="1" customWidth="1"/>
    <col min="9741" max="9741" width="10.109375" style="299" bestFit="1" customWidth="1"/>
    <col min="9742" max="9742" width="10.109375" style="299" customWidth="1"/>
    <col min="9743" max="9743" width="0" style="299" hidden="1" customWidth="1"/>
    <col min="9744" max="9744" width="10" style="299" customWidth="1"/>
    <col min="9745" max="9745" width="12.88671875" style="299" customWidth="1"/>
    <col min="9746" max="9984" width="9.109375" style="299"/>
    <col min="9985" max="9985" width="4.109375" style="299" customWidth="1"/>
    <col min="9986" max="9986" width="25.5546875" style="299" customWidth="1"/>
    <col min="9987" max="9987" width="0" style="299" hidden="1" customWidth="1"/>
    <col min="9988" max="9988" width="9.109375" style="299" bestFit="1" customWidth="1"/>
    <col min="9989" max="9989" width="9.109375" style="299" customWidth="1"/>
    <col min="9990" max="9990" width="8.88671875" style="299" customWidth="1"/>
    <col min="9991" max="9992" width="10.6640625" style="299" customWidth="1"/>
    <col min="9993" max="9993" width="10" style="299" customWidth="1"/>
    <col min="9994" max="9994" width="10.44140625" style="299" customWidth="1"/>
    <col min="9995" max="9995" width="8.6640625" style="299" customWidth="1"/>
    <col min="9996" max="9996" width="0" style="299" hidden="1" customWidth="1"/>
    <col min="9997" max="9997" width="10.109375" style="299" bestFit="1" customWidth="1"/>
    <col min="9998" max="9998" width="10.109375" style="299" customWidth="1"/>
    <col min="9999" max="9999" width="0" style="299" hidden="1" customWidth="1"/>
    <col min="10000" max="10000" width="10" style="299" customWidth="1"/>
    <col min="10001" max="10001" width="12.88671875" style="299" customWidth="1"/>
    <col min="10002" max="10240" width="9.109375" style="299"/>
    <col min="10241" max="10241" width="4.109375" style="299" customWidth="1"/>
    <col min="10242" max="10242" width="25.5546875" style="299" customWidth="1"/>
    <col min="10243" max="10243" width="0" style="299" hidden="1" customWidth="1"/>
    <col min="10244" max="10244" width="9.109375" style="299" bestFit="1" customWidth="1"/>
    <col min="10245" max="10245" width="9.109375" style="299" customWidth="1"/>
    <col min="10246" max="10246" width="8.88671875" style="299" customWidth="1"/>
    <col min="10247" max="10248" width="10.6640625" style="299" customWidth="1"/>
    <col min="10249" max="10249" width="10" style="299" customWidth="1"/>
    <col min="10250" max="10250" width="10.44140625" style="299" customWidth="1"/>
    <col min="10251" max="10251" width="8.6640625" style="299" customWidth="1"/>
    <col min="10252" max="10252" width="0" style="299" hidden="1" customWidth="1"/>
    <col min="10253" max="10253" width="10.109375" style="299" bestFit="1" customWidth="1"/>
    <col min="10254" max="10254" width="10.109375" style="299" customWidth="1"/>
    <col min="10255" max="10255" width="0" style="299" hidden="1" customWidth="1"/>
    <col min="10256" max="10256" width="10" style="299" customWidth="1"/>
    <col min="10257" max="10257" width="12.88671875" style="299" customWidth="1"/>
    <col min="10258" max="10496" width="9.109375" style="299"/>
    <col min="10497" max="10497" width="4.109375" style="299" customWidth="1"/>
    <col min="10498" max="10498" width="25.5546875" style="299" customWidth="1"/>
    <col min="10499" max="10499" width="0" style="299" hidden="1" customWidth="1"/>
    <col min="10500" max="10500" width="9.109375" style="299" bestFit="1" customWidth="1"/>
    <col min="10501" max="10501" width="9.109375" style="299" customWidth="1"/>
    <col min="10502" max="10502" width="8.88671875" style="299" customWidth="1"/>
    <col min="10503" max="10504" width="10.6640625" style="299" customWidth="1"/>
    <col min="10505" max="10505" width="10" style="299" customWidth="1"/>
    <col min="10506" max="10506" width="10.44140625" style="299" customWidth="1"/>
    <col min="10507" max="10507" width="8.6640625" style="299" customWidth="1"/>
    <col min="10508" max="10508" width="0" style="299" hidden="1" customWidth="1"/>
    <col min="10509" max="10509" width="10.109375" style="299" bestFit="1" customWidth="1"/>
    <col min="10510" max="10510" width="10.109375" style="299" customWidth="1"/>
    <col min="10511" max="10511" width="0" style="299" hidden="1" customWidth="1"/>
    <col min="10512" max="10512" width="10" style="299" customWidth="1"/>
    <col min="10513" max="10513" width="12.88671875" style="299" customWidth="1"/>
    <col min="10514" max="10752" width="9.109375" style="299"/>
    <col min="10753" max="10753" width="4.109375" style="299" customWidth="1"/>
    <col min="10754" max="10754" width="25.5546875" style="299" customWidth="1"/>
    <col min="10755" max="10755" width="0" style="299" hidden="1" customWidth="1"/>
    <col min="10756" max="10756" width="9.109375" style="299" bestFit="1" customWidth="1"/>
    <col min="10757" max="10757" width="9.109375" style="299" customWidth="1"/>
    <col min="10758" max="10758" width="8.88671875" style="299" customWidth="1"/>
    <col min="10759" max="10760" width="10.6640625" style="299" customWidth="1"/>
    <col min="10761" max="10761" width="10" style="299" customWidth="1"/>
    <col min="10762" max="10762" width="10.44140625" style="299" customWidth="1"/>
    <col min="10763" max="10763" width="8.6640625" style="299" customWidth="1"/>
    <col min="10764" max="10764" width="0" style="299" hidden="1" customWidth="1"/>
    <col min="10765" max="10765" width="10.109375" style="299" bestFit="1" customWidth="1"/>
    <col min="10766" max="10766" width="10.109375" style="299" customWidth="1"/>
    <col min="10767" max="10767" width="0" style="299" hidden="1" customWidth="1"/>
    <col min="10768" max="10768" width="10" style="299" customWidth="1"/>
    <col min="10769" max="10769" width="12.88671875" style="299" customWidth="1"/>
    <col min="10770" max="11008" width="9.109375" style="299"/>
    <col min="11009" max="11009" width="4.109375" style="299" customWidth="1"/>
    <col min="11010" max="11010" width="25.5546875" style="299" customWidth="1"/>
    <col min="11011" max="11011" width="0" style="299" hidden="1" customWidth="1"/>
    <col min="11012" max="11012" width="9.109375" style="299" bestFit="1" customWidth="1"/>
    <col min="11013" max="11013" width="9.109375" style="299" customWidth="1"/>
    <col min="11014" max="11014" width="8.88671875" style="299" customWidth="1"/>
    <col min="11015" max="11016" width="10.6640625" style="299" customWidth="1"/>
    <col min="11017" max="11017" width="10" style="299" customWidth="1"/>
    <col min="11018" max="11018" width="10.44140625" style="299" customWidth="1"/>
    <col min="11019" max="11019" width="8.6640625" style="299" customWidth="1"/>
    <col min="11020" max="11020" width="0" style="299" hidden="1" customWidth="1"/>
    <col min="11021" max="11021" width="10.109375" style="299" bestFit="1" customWidth="1"/>
    <col min="11022" max="11022" width="10.109375" style="299" customWidth="1"/>
    <col min="11023" max="11023" width="0" style="299" hidden="1" customWidth="1"/>
    <col min="11024" max="11024" width="10" style="299" customWidth="1"/>
    <col min="11025" max="11025" width="12.88671875" style="299" customWidth="1"/>
    <col min="11026" max="11264" width="9.109375" style="299"/>
    <col min="11265" max="11265" width="4.109375" style="299" customWidth="1"/>
    <col min="11266" max="11266" width="25.5546875" style="299" customWidth="1"/>
    <col min="11267" max="11267" width="0" style="299" hidden="1" customWidth="1"/>
    <col min="11268" max="11268" width="9.109375" style="299" bestFit="1" customWidth="1"/>
    <col min="11269" max="11269" width="9.109375" style="299" customWidth="1"/>
    <col min="11270" max="11270" width="8.88671875" style="299" customWidth="1"/>
    <col min="11271" max="11272" width="10.6640625" style="299" customWidth="1"/>
    <col min="11273" max="11273" width="10" style="299" customWidth="1"/>
    <col min="11274" max="11274" width="10.44140625" style="299" customWidth="1"/>
    <col min="11275" max="11275" width="8.6640625" style="299" customWidth="1"/>
    <col min="11276" max="11276" width="0" style="299" hidden="1" customWidth="1"/>
    <col min="11277" max="11277" width="10.109375" style="299" bestFit="1" customWidth="1"/>
    <col min="11278" max="11278" width="10.109375" style="299" customWidth="1"/>
    <col min="11279" max="11279" width="0" style="299" hidden="1" customWidth="1"/>
    <col min="11280" max="11280" width="10" style="299" customWidth="1"/>
    <col min="11281" max="11281" width="12.88671875" style="299" customWidth="1"/>
    <col min="11282" max="11520" width="9.109375" style="299"/>
    <col min="11521" max="11521" width="4.109375" style="299" customWidth="1"/>
    <col min="11522" max="11522" width="25.5546875" style="299" customWidth="1"/>
    <col min="11523" max="11523" width="0" style="299" hidden="1" customWidth="1"/>
    <col min="11524" max="11524" width="9.109375" style="299" bestFit="1" customWidth="1"/>
    <col min="11525" max="11525" width="9.109375" style="299" customWidth="1"/>
    <col min="11526" max="11526" width="8.88671875" style="299" customWidth="1"/>
    <col min="11527" max="11528" width="10.6640625" style="299" customWidth="1"/>
    <col min="11529" max="11529" width="10" style="299" customWidth="1"/>
    <col min="11530" max="11530" width="10.44140625" style="299" customWidth="1"/>
    <col min="11531" max="11531" width="8.6640625" style="299" customWidth="1"/>
    <col min="11532" max="11532" width="0" style="299" hidden="1" customWidth="1"/>
    <col min="11533" max="11533" width="10.109375" style="299" bestFit="1" customWidth="1"/>
    <col min="11534" max="11534" width="10.109375" style="299" customWidth="1"/>
    <col min="11535" max="11535" width="0" style="299" hidden="1" customWidth="1"/>
    <col min="11536" max="11536" width="10" style="299" customWidth="1"/>
    <col min="11537" max="11537" width="12.88671875" style="299" customWidth="1"/>
    <col min="11538" max="11776" width="9.109375" style="299"/>
    <col min="11777" max="11777" width="4.109375" style="299" customWidth="1"/>
    <col min="11778" max="11778" width="25.5546875" style="299" customWidth="1"/>
    <col min="11779" max="11779" width="0" style="299" hidden="1" customWidth="1"/>
    <col min="11780" max="11780" width="9.109375" style="299" bestFit="1" customWidth="1"/>
    <col min="11781" max="11781" width="9.109375" style="299" customWidth="1"/>
    <col min="11782" max="11782" width="8.88671875" style="299" customWidth="1"/>
    <col min="11783" max="11784" width="10.6640625" style="299" customWidth="1"/>
    <col min="11785" max="11785" width="10" style="299" customWidth="1"/>
    <col min="11786" max="11786" width="10.44140625" style="299" customWidth="1"/>
    <col min="11787" max="11787" width="8.6640625" style="299" customWidth="1"/>
    <col min="11788" max="11788" width="0" style="299" hidden="1" customWidth="1"/>
    <col min="11789" max="11789" width="10.109375" style="299" bestFit="1" customWidth="1"/>
    <col min="11790" max="11790" width="10.109375" style="299" customWidth="1"/>
    <col min="11791" max="11791" width="0" style="299" hidden="1" customWidth="1"/>
    <col min="11792" max="11792" width="10" style="299" customWidth="1"/>
    <col min="11793" max="11793" width="12.88671875" style="299" customWidth="1"/>
    <col min="11794" max="12032" width="9.109375" style="299"/>
    <col min="12033" max="12033" width="4.109375" style="299" customWidth="1"/>
    <col min="12034" max="12034" width="25.5546875" style="299" customWidth="1"/>
    <col min="12035" max="12035" width="0" style="299" hidden="1" customWidth="1"/>
    <col min="12036" max="12036" width="9.109375" style="299" bestFit="1" customWidth="1"/>
    <col min="12037" max="12037" width="9.109375" style="299" customWidth="1"/>
    <col min="12038" max="12038" width="8.88671875" style="299" customWidth="1"/>
    <col min="12039" max="12040" width="10.6640625" style="299" customWidth="1"/>
    <col min="12041" max="12041" width="10" style="299" customWidth="1"/>
    <col min="12042" max="12042" width="10.44140625" style="299" customWidth="1"/>
    <col min="12043" max="12043" width="8.6640625" style="299" customWidth="1"/>
    <col min="12044" max="12044" width="0" style="299" hidden="1" customWidth="1"/>
    <col min="12045" max="12045" width="10.109375" style="299" bestFit="1" customWidth="1"/>
    <col min="12046" max="12046" width="10.109375" style="299" customWidth="1"/>
    <col min="12047" max="12047" width="0" style="299" hidden="1" customWidth="1"/>
    <col min="12048" max="12048" width="10" style="299" customWidth="1"/>
    <col min="12049" max="12049" width="12.88671875" style="299" customWidth="1"/>
    <col min="12050" max="12288" width="9.109375" style="299"/>
    <col min="12289" max="12289" width="4.109375" style="299" customWidth="1"/>
    <col min="12290" max="12290" width="25.5546875" style="299" customWidth="1"/>
    <col min="12291" max="12291" width="0" style="299" hidden="1" customWidth="1"/>
    <col min="12292" max="12292" width="9.109375" style="299" bestFit="1" customWidth="1"/>
    <col min="12293" max="12293" width="9.109375" style="299" customWidth="1"/>
    <col min="12294" max="12294" width="8.88671875" style="299" customWidth="1"/>
    <col min="12295" max="12296" width="10.6640625" style="299" customWidth="1"/>
    <col min="12297" max="12297" width="10" style="299" customWidth="1"/>
    <col min="12298" max="12298" width="10.44140625" style="299" customWidth="1"/>
    <col min="12299" max="12299" width="8.6640625" style="299" customWidth="1"/>
    <col min="12300" max="12300" width="0" style="299" hidden="1" customWidth="1"/>
    <col min="12301" max="12301" width="10.109375" style="299" bestFit="1" customWidth="1"/>
    <col min="12302" max="12302" width="10.109375" style="299" customWidth="1"/>
    <col min="12303" max="12303" width="0" style="299" hidden="1" customWidth="1"/>
    <col min="12304" max="12304" width="10" style="299" customWidth="1"/>
    <col min="12305" max="12305" width="12.88671875" style="299" customWidth="1"/>
    <col min="12306" max="12544" width="9.109375" style="299"/>
    <col min="12545" max="12545" width="4.109375" style="299" customWidth="1"/>
    <col min="12546" max="12546" width="25.5546875" style="299" customWidth="1"/>
    <col min="12547" max="12547" width="0" style="299" hidden="1" customWidth="1"/>
    <col min="12548" max="12548" width="9.109375" style="299" bestFit="1" customWidth="1"/>
    <col min="12549" max="12549" width="9.109375" style="299" customWidth="1"/>
    <col min="12550" max="12550" width="8.88671875" style="299" customWidth="1"/>
    <col min="12551" max="12552" width="10.6640625" style="299" customWidth="1"/>
    <col min="12553" max="12553" width="10" style="299" customWidth="1"/>
    <col min="12554" max="12554" width="10.44140625" style="299" customWidth="1"/>
    <col min="12555" max="12555" width="8.6640625" style="299" customWidth="1"/>
    <col min="12556" max="12556" width="0" style="299" hidden="1" customWidth="1"/>
    <col min="12557" max="12557" width="10.109375" style="299" bestFit="1" customWidth="1"/>
    <col min="12558" max="12558" width="10.109375" style="299" customWidth="1"/>
    <col min="12559" max="12559" width="0" style="299" hidden="1" customWidth="1"/>
    <col min="12560" max="12560" width="10" style="299" customWidth="1"/>
    <col min="12561" max="12561" width="12.88671875" style="299" customWidth="1"/>
    <col min="12562" max="12800" width="9.109375" style="299"/>
    <col min="12801" max="12801" width="4.109375" style="299" customWidth="1"/>
    <col min="12802" max="12802" width="25.5546875" style="299" customWidth="1"/>
    <col min="12803" max="12803" width="0" style="299" hidden="1" customWidth="1"/>
    <col min="12804" max="12804" width="9.109375" style="299" bestFit="1" customWidth="1"/>
    <col min="12805" max="12805" width="9.109375" style="299" customWidth="1"/>
    <col min="12806" max="12806" width="8.88671875" style="299" customWidth="1"/>
    <col min="12807" max="12808" width="10.6640625" style="299" customWidth="1"/>
    <col min="12809" max="12809" width="10" style="299" customWidth="1"/>
    <col min="12810" max="12810" width="10.44140625" style="299" customWidth="1"/>
    <col min="12811" max="12811" width="8.6640625" style="299" customWidth="1"/>
    <col min="12812" max="12812" width="0" style="299" hidden="1" customWidth="1"/>
    <col min="12813" max="12813" width="10.109375" style="299" bestFit="1" customWidth="1"/>
    <col min="12814" max="12814" width="10.109375" style="299" customWidth="1"/>
    <col min="12815" max="12815" width="0" style="299" hidden="1" customWidth="1"/>
    <col min="12816" max="12816" width="10" style="299" customWidth="1"/>
    <col min="12817" max="12817" width="12.88671875" style="299" customWidth="1"/>
    <col min="12818" max="13056" width="9.109375" style="299"/>
    <col min="13057" max="13057" width="4.109375" style="299" customWidth="1"/>
    <col min="13058" max="13058" width="25.5546875" style="299" customWidth="1"/>
    <col min="13059" max="13059" width="0" style="299" hidden="1" customWidth="1"/>
    <col min="13060" max="13060" width="9.109375" style="299" bestFit="1" customWidth="1"/>
    <col min="13061" max="13061" width="9.109375" style="299" customWidth="1"/>
    <col min="13062" max="13062" width="8.88671875" style="299" customWidth="1"/>
    <col min="13063" max="13064" width="10.6640625" style="299" customWidth="1"/>
    <col min="13065" max="13065" width="10" style="299" customWidth="1"/>
    <col min="13066" max="13066" width="10.44140625" style="299" customWidth="1"/>
    <col min="13067" max="13067" width="8.6640625" style="299" customWidth="1"/>
    <col min="13068" max="13068" width="0" style="299" hidden="1" customWidth="1"/>
    <col min="13069" max="13069" width="10.109375" style="299" bestFit="1" customWidth="1"/>
    <col min="13070" max="13070" width="10.109375" style="299" customWidth="1"/>
    <col min="13071" max="13071" width="0" style="299" hidden="1" customWidth="1"/>
    <col min="13072" max="13072" width="10" style="299" customWidth="1"/>
    <col min="13073" max="13073" width="12.88671875" style="299" customWidth="1"/>
    <col min="13074" max="13312" width="9.109375" style="299"/>
    <col min="13313" max="13313" width="4.109375" style="299" customWidth="1"/>
    <col min="13314" max="13314" width="25.5546875" style="299" customWidth="1"/>
    <col min="13315" max="13315" width="0" style="299" hidden="1" customWidth="1"/>
    <col min="13316" max="13316" width="9.109375" style="299" bestFit="1" customWidth="1"/>
    <col min="13317" max="13317" width="9.109375" style="299" customWidth="1"/>
    <col min="13318" max="13318" width="8.88671875" style="299" customWidth="1"/>
    <col min="13319" max="13320" width="10.6640625" style="299" customWidth="1"/>
    <col min="13321" max="13321" width="10" style="299" customWidth="1"/>
    <col min="13322" max="13322" width="10.44140625" style="299" customWidth="1"/>
    <col min="13323" max="13323" width="8.6640625" style="299" customWidth="1"/>
    <col min="13324" max="13324" width="0" style="299" hidden="1" customWidth="1"/>
    <col min="13325" max="13325" width="10.109375" style="299" bestFit="1" customWidth="1"/>
    <col min="13326" max="13326" width="10.109375" style="299" customWidth="1"/>
    <col min="13327" max="13327" width="0" style="299" hidden="1" customWidth="1"/>
    <col min="13328" max="13328" width="10" style="299" customWidth="1"/>
    <col min="13329" max="13329" width="12.88671875" style="299" customWidth="1"/>
    <col min="13330" max="13568" width="9.109375" style="299"/>
    <col min="13569" max="13569" width="4.109375" style="299" customWidth="1"/>
    <col min="13570" max="13570" width="25.5546875" style="299" customWidth="1"/>
    <col min="13571" max="13571" width="0" style="299" hidden="1" customWidth="1"/>
    <col min="13572" max="13572" width="9.109375" style="299" bestFit="1" customWidth="1"/>
    <col min="13573" max="13573" width="9.109375" style="299" customWidth="1"/>
    <col min="13574" max="13574" width="8.88671875" style="299" customWidth="1"/>
    <col min="13575" max="13576" width="10.6640625" style="299" customWidth="1"/>
    <col min="13577" max="13577" width="10" style="299" customWidth="1"/>
    <col min="13578" max="13578" width="10.44140625" style="299" customWidth="1"/>
    <col min="13579" max="13579" width="8.6640625" style="299" customWidth="1"/>
    <col min="13580" max="13580" width="0" style="299" hidden="1" customWidth="1"/>
    <col min="13581" max="13581" width="10.109375" style="299" bestFit="1" customWidth="1"/>
    <col min="13582" max="13582" width="10.109375" style="299" customWidth="1"/>
    <col min="13583" max="13583" width="0" style="299" hidden="1" customWidth="1"/>
    <col min="13584" max="13584" width="10" style="299" customWidth="1"/>
    <col min="13585" max="13585" width="12.88671875" style="299" customWidth="1"/>
    <col min="13586" max="13824" width="9.109375" style="299"/>
    <col min="13825" max="13825" width="4.109375" style="299" customWidth="1"/>
    <col min="13826" max="13826" width="25.5546875" style="299" customWidth="1"/>
    <col min="13827" max="13827" width="0" style="299" hidden="1" customWidth="1"/>
    <col min="13828" max="13828" width="9.109375" style="299" bestFit="1" customWidth="1"/>
    <col min="13829" max="13829" width="9.109375" style="299" customWidth="1"/>
    <col min="13830" max="13830" width="8.88671875" style="299" customWidth="1"/>
    <col min="13831" max="13832" width="10.6640625" style="299" customWidth="1"/>
    <col min="13833" max="13833" width="10" style="299" customWidth="1"/>
    <col min="13834" max="13834" width="10.44140625" style="299" customWidth="1"/>
    <col min="13835" max="13835" width="8.6640625" style="299" customWidth="1"/>
    <col min="13836" max="13836" width="0" style="299" hidden="1" customWidth="1"/>
    <col min="13837" max="13837" width="10.109375" style="299" bestFit="1" customWidth="1"/>
    <col min="13838" max="13838" width="10.109375" style="299" customWidth="1"/>
    <col min="13839" max="13839" width="0" style="299" hidden="1" customWidth="1"/>
    <col min="13840" max="13840" width="10" style="299" customWidth="1"/>
    <col min="13841" max="13841" width="12.88671875" style="299" customWidth="1"/>
    <col min="13842" max="14080" width="9.109375" style="299"/>
    <col min="14081" max="14081" width="4.109375" style="299" customWidth="1"/>
    <col min="14082" max="14082" width="25.5546875" style="299" customWidth="1"/>
    <col min="14083" max="14083" width="0" style="299" hidden="1" customWidth="1"/>
    <col min="14084" max="14084" width="9.109375" style="299" bestFit="1" customWidth="1"/>
    <col min="14085" max="14085" width="9.109375" style="299" customWidth="1"/>
    <col min="14086" max="14086" width="8.88671875" style="299" customWidth="1"/>
    <col min="14087" max="14088" width="10.6640625" style="299" customWidth="1"/>
    <col min="14089" max="14089" width="10" style="299" customWidth="1"/>
    <col min="14090" max="14090" width="10.44140625" style="299" customWidth="1"/>
    <col min="14091" max="14091" width="8.6640625" style="299" customWidth="1"/>
    <col min="14092" max="14092" width="0" style="299" hidden="1" customWidth="1"/>
    <col min="14093" max="14093" width="10.109375" style="299" bestFit="1" customWidth="1"/>
    <col min="14094" max="14094" width="10.109375" style="299" customWidth="1"/>
    <col min="14095" max="14095" width="0" style="299" hidden="1" customWidth="1"/>
    <col min="14096" max="14096" width="10" style="299" customWidth="1"/>
    <col min="14097" max="14097" width="12.88671875" style="299" customWidth="1"/>
    <col min="14098" max="14336" width="9.109375" style="299"/>
    <col min="14337" max="14337" width="4.109375" style="299" customWidth="1"/>
    <col min="14338" max="14338" width="25.5546875" style="299" customWidth="1"/>
    <col min="14339" max="14339" width="0" style="299" hidden="1" customWidth="1"/>
    <col min="14340" max="14340" width="9.109375" style="299" bestFit="1" customWidth="1"/>
    <col min="14341" max="14341" width="9.109375" style="299" customWidth="1"/>
    <col min="14342" max="14342" width="8.88671875" style="299" customWidth="1"/>
    <col min="14343" max="14344" width="10.6640625" style="299" customWidth="1"/>
    <col min="14345" max="14345" width="10" style="299" customWidth="1"/>
    <col min="14346" max="14346" width="10.44140625" style="299" customWidth="1"/>
    <col min="14347" max="14347" width="8.6640625" style="299" customWidth="1"/>
    <col min="14348" max="14348" width="0" style="299" hidden="1" customWidth="1"/>
    <col min="14349" max="14349" width="10.109375" style="299" bestFit="1" customWidth="1"/>
    <col min="14350" max="14350" width="10.109375" style="299" customWidth="1"/>
    <col min="14351" max="14351" width="0" style="299" hidden="1" customWidth="1"/>
    <col min="14352" max="14352" width="10" style="299" customWidth="1"/>
    <col min="14353" max="14353" width="12.88671875" style="299" customWidth="1"/>
    <col min="14354" max="14592" width="9.109375" style="299"/>
    <col min="14593" max="14593" width="4.109375" style="299" customWidth="1"/>
    <col min="14594" max="14594" width="25.5546875" style="299" customWidth="1"/>
    <col min="14595" max="14595" width="0" style="299" hidden="1" customWidth="1"/>
    <col min="14596" max="14596" width="9.109375" style="299" bestFit="1" customWidth="1"/>
    <col min="14597" max="14597" width="9.109375" style="299" customWidth="1"/>
    <col min="14598" max="14598" width="8.88671875" style="299" customWidth="1"/>
    <col min="14599" max="14600" width="10.6640625" style="299" customWidth="1"/>
    <col min="14601" max="14601" width="10" style="299" customWidth="1"/>
    <col min="14602" max="14602" width="10.44140625" style="299" customWidth="1"/>
    <col min="14603" max="14603" width="8.6640625" style="299" customWidth="1"/>
    <col min="14604" max="14604" width="0" style="299" hidden="1" customWidth="1"/>
    <col min="14605" max="14605" width="10.109375" style="299" bestFit="1" customWidth="1"/>
    <col min="14606" max="14606" width="10.109375" style="299" customWidth="1"/>
    <col min="14607" max="14607" width="0" style="299" hidden="1" customWidth="1"/>
    <col min="14608" max="14608" width="10" style="299" customWidth="1"/>
    <col min="14609" max="14609" width="12.88671875" style="299" customWidth="1"/>
    <col min="14610" max="14848" width="9.109375" style="299"/>
    <col min="14849" max="14849" width="4.109375" style="299" customWidth="1"/>
    <col min="14850" max="14850" width="25.5546875" style="299" customWidth="1"/>
    <col min="14851" max="14851" width="0" style="299" hidden="1" customWidth="1"/>
    <col min="14852" max="14852" width="9.109375" style="299" bestFit="1" customWidth="1"/>
    <col min="14853" max="14853" width="9.109375" style="299" customWidth="1"/>
    <col min="14854" max="14854" width="8.88671875" style="299" customWidth="1"/>
    <col min="14855" max="14856" width="10.6640625" style="299" customWidth="1"/>
    <col min="14857" max="14857" width="10" style="299" customWidth="1"/>
    <col min="14858" max="14858" width="10.44140625" style="299" customWidth="1"/>
    <col min="14859" max="14859" width="8.6640625" style="299" customWidth="1"/>
    <col min="14860" max="14860" width="0" style="299" hidden="1" customWidth="1"/>
    <col min="14861" max="14861" width="10.109375" style="299" bestFit="1" customWidth="1"/>
    <col min="14862" max="14862" width="10.109375" style="299" customWidth="1"/>
    <col min="14863" max="14863" width="0" style="299" hidden="1" customWidth="1"/>
    <col min="14864" max="14864" width="10" style="299" customWidth="1"/>
    <col min="14865" max="14865" width="12.88671875" style="299" customWidth="1"/>
    <col min="14866" max="15104" width="9.109375" style="299"/>
    <col min="15105" max="15105" width="4.109375" style="299" customWidth="1"/>
    <col min="15106" max="15106" width="25.5546875" style="299" customWidth="1"/>
    <col min="15107" max="15107" width="0" style="299" hidden="1" customWidth="1"/>
    <col min="15108" max="15108" width="9.109375" style="299" bestFit="1" customWidth="1"/>
    <col min="15109" max="15109" width="9.109375" style="299" customWidth="1"/>
    <col min="15110" max="15110" width="8.88671875" style="299" customWidth="1"/>
    <col min="15111" max="15112" width="10.6640625" style="299" customWidth="1"/>
    <col min="15113" max="15113" width="10" style="299" customWidth="1"/>
    <col min="15114" max="15114" width="10.44140625" style="299" customWidth="1"/>
    <col min="15115" max="15115" width="8.6640625" style="299" customWidth="1"/>
    <col min="15116" max="15116" width="0" style="299" hidden="1" customWidth="1"/>
    <col min="15117" max="15117" width="10.109375" style="299" bestFit="1" customWidth="1"/>
    <col min="15118" max="15118" width="10.109375" style="299" customWidth="1"/>
    <col min="15119" max="15119" width="0" style="299" hidden="1" customWidth="1"/>
    <col min="15120" max="15120" width="10" style="299" customWidth="1"/>
    <col min="15121" max="15121" width="12.88671875" style="299" customWidth="1"/>
    <col min="15122" max="15360" width="9.109375" style="299"/>
    <col min="15361" max="15361" width="4.109375" style="299" customWidth="1"/>
    <col min="15362" max="15362" width="25.5546875" style="299" customWidth="1"/>
    <col min="15363" max="15363" width="0" style="299" hidden="1" customWidth="1"/>
    <col min="15364" max="15364" width="9.109375" style="299" bestFit="1" customWidth="1"/>
    <col min="15365" max="15365" width="9.109375" style="299" customWidth="1"/>
    <col min="15366" max="15366" width="8.88671875" style="299" customWidth="1"/>
    <col min="15367" max="15368" width="10.6640625" style="299" customWidth="1"/>
    <col min="15369" max="15369" width="10" style="299" customWidth="1"/>
    <col min="15370" max="15370" width="10.44140625" style="299" customWidth="1"/>
    <col min="15371" max="15371" width="8.6640625" style="299" customWidth="1"/>
    <col min="15372" max="15372" width="0" style="299" hidden="1" customWidth="1"/>
    <col min="15373" max="15373" width="10.109375" style="299" bestFit="1" customWidth="1"/>
    <col min="15374" max="15374" width="10.109375" style="299" customWidth="1"/>
    <col min="15375" max="15375" width="0" style="299" hidden="1" customWidth="1"/>
    <col min="15376" max="15376" width="10" style="299" customWidth="1"/>
    <col min="15377" max="15377" width="12.88671875" style="299" customWidth="1"/>
    <col min="15378" max="15616" width="9.109375" style="299"/>
    <col min="15617" max="15617" width="4.109375" style="299" customWidth="1"/>
    <col min="15618" max="15618" width="25.5546875" style="299" customWidth="1"/>
    <col min="15619" max="15619" width="0" style="299" hidden="1" customWidth="1"/>
    <col min="15620" max="15620" width="9.109375" style="299" bestFit="1" customWidth="1"/>
    <col min="15621" max="15621" width="9.109375" style="299" customWidth="1"/>
    <col min="15622" max="15622" width="8.88671875" style="299" customWidth="1"/>
    <col min="15623" max="15624" width="10.6640625" style="299" customWidth="1"/>
    <col min="15625" max="15625" width="10" style="299" customWidth="1"/>
    <col min="15626" max="15626" width="10.44140625" style="299" customWidth="1"/>
    <col min="15627" max="15627" width="8.6640625" style="299" customWidth="1"/>
    <col min="15628" max="15628" width="0" style="299" hidden="1" customWidth="1"/>
    <col min="15629" max="15629" width="10.109375" style="299" bestFit="1" customWidth="1"/>
    <col min="15630" max="15630" width="10.109375" style="299" customWidth="1"/>
    <col min="15631" max="15631" width="0" style="299" hidden="1" customWidth="1"/>
    <col min="15632" max="15632" width="10" style="299" customWidth="1"/>
    <col min="15633" max="15633" width="12.88671875" style="299" customWidth="1"/>
    <col min="15634" max="15872" width="9.109375" style="299"/>
    <col min="15873" max="15873" width="4.109375" style="299" customWidth="1"/>
    <col min="15874" max="15874" width="25.5546875" style="299" customWidth="1"/>
    <col min="15875" max="15875" width="0" style="299" hidden="1" customWidth="1"/>
    <col min="15876" max="15876" width="9.109375" style="299" bestFit="1" customWidth="1"/>
    <col min="15877" max="15877" width="9.109375" style="299" customWidth="1"/>
    <col min="15878" max="15878" width="8.88671875" style="299" customWidth="1"/>
    <col min="15879" max="15880" width="10.6640625" style="299" customWidth="1"/>
    <col min="15881" max="15881" width="10" style="299" customWidth="1"/>
    <col min="15882" max="15882" width="10.44140625" style="299" customWidth="1"/>
    <col min="15883" max="15883" width="8.6640625" style="299" customWidth="1"/>
    <col min="15884" max="15884" width="0" style="299" hidden="1" customWidth="1"/>
    <col min="15885" max="15885" width="10.109375" style="299" bestFit="1" customWidth="1"/>
    <col min="15886" max="15886" width="10.109375" style="299" customWidth="1"/>
    <col min="15887" max="15887" width="0" style="299" hidden="1" customWidth="1"/>
    <col min="15888" max="15888" width="10" style="299" customWidth="1"/>
    <col min="15889" max="15889" width="12.88671875" style="299" customWidth="1"/>
    <col min="15890" max="16128" width="9.109375" style="299"/>
    <col min="16129" max="16129" width="4.109375" style="299" customWidth="1"/>
    <col min="16130" max="16130" width="25.5546875" style="299" customWidth="1"/>
    <col min="16131" max="16131" width="0" style="299" hidden="1" customWidth="1"/>
    <col min="16132" max="16132" width="9.109375" style="299" bestFit="1" customWidth="1"/>
    <col min="16133" max="16133" width="9.109375" style="299" customWidth="1"/>
    <col min="16134" max="16134" width="8.88671875" style="299" customWidth="1"/>
    <col min="16135" max="16136" width="10.6640625" style="299" customWidth="1"/>
    <col min="16137" max="16137" width="10" style="299" customWidth="1"/>
    <col min="16138" max="16138" width="10.44140625" style="299" customWidth="1"/>
    <col min="16139" max="16139" width="8.6640625" style="299" customWidth="1"/>
    <col min="16140" max="16140" width="0" style="299" hidden="1" customWidth="1"/>
    <col min="16141" max="16141" width="10.109375" style="299" bestFit="1" customWidth="1"/>
    <col min="16142" max="16142" width="10.109375" style="299" customWidth="1"/>
    <col min="16143" max="16143" width="0" style="299" hidden="1" customWidth="1"/>
    <col min="16144" max="16144" width="10" style="299" customWidth="1"/>
    <col min="16145" max="16145" width="12.88671875" style="299" customWidth="1"/>
    <col min="16146" max="16384" width="9.109375" style="299"/>
  </cols>
  <sheetData>
    <row r="1" spans="2:21" ht="21" x14ac:dyDescent="0.4">
      <c r="B1" s="428" t="s">
        <v>785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3" spans="2:21" s="339" customFormat="1" ht="62.4" x14ac:dyDescent="0.25">
      <c r="B3" s="340" t="s">
        <v>689</v>
      </c>
      <c r="C3" s="341" t="s">
        <v>687</v>
      </c>
      <c r="D3" s="341" t="s">
        <v>688</v>
      </c>
      <c r="E3" s="341" t="s">
        <v>657</v>
      </c>
      <c r="F3" s="341" t="s">
        <v>687</v>
      </c>
      <c r="G3" s="341" t="s">
        <v>656</v>
      </c>
      <c r="H3" s="341" t="s">
        <v>686</v>
      </c>
      <c r="I3" s="341" t="s">
        <v>685</v>
      </c>
      <c r="J3" s="341" t="s">
        <v>660</v>
      </c>
      <c r="K3" s="341" t="s">
        <v>684</v>
      </c>
      <c r="L3" s="435" t="s">
        <v>683</v>
      </c>
      <c r="M3" s="436"/>
      <c r="N3" s="342" t="s">
        <v>223</v>
      </c>
      <c r="O3" s="342" t="s">
        <v>655</v>
      </c>
      <c r="P3" s="341" t="s">
        <v>682</v>
      </c>
      <c r="Q3" s="340" t="s">
        <v>248</v>
      </c>
    </row>
    <row r="4" spans="2:21" ht="30" hidden="1" customHeight="1" x14ac:dyDescent="0.3">
      <c r="B4" s="338" t="s">
        <v>491</v>
      </c>
      <c r="C4" s="305"/>
      <c r="D4" s="305"/>
      <c r="E4" s="305"/>
      <c r="F4" s="305"/>
      <c r="G4" s="305"/>
      <c r="H4" s="305"/>
      <c r="I4" s="305"/>
      <c r="J4" s="305"/>
      <c r="K4" s="337"/>
      <c r="L4" s="336"/>
      <c r="M4" s="336"/>
      <c r="N4" s="336"/>
      <c r="O4" s="335"/>
      <c r="P4" s="305"/>
      <c r="Q4" s="305">
        <f>SUM(E4:P4)</f>
        <v>0</v>
      </c>
    </row>
    <row r="5" spans="2:21" ht="30" hidden="1" customHeight="1" x14ac:dyDescent="0.3">
      <c r="B5" s="338" t="s">
        <v>265</v>
      </c>
      <c r="C5" s="305"/>
      <c r="D5" s="305"/>
      <c r="E5" s="305"/>
      <c r="F5" s="305"/>
      <c r="G5" s="305"/>
      <c r="H5" s="305"/>
      <c r="I5" s="305"/>
      <c r="J5" s="305"/>
      <c r="K5" s="337"/>
      <c r="L5" s="336"/>
      <c r="M5" s="336"/>
      <c r="N5" s="336"/>
      <c r="O5" s="335"/>
      <c r="P5" s="305"/>
      <c r="Q5" s="305">
        <f>SUM(E5:P5)</f>
        <v>0</v>
      </c>
    </row>
    <row r="6" spans="2:21" s="324" customFormat="1" ht="35.1" customHeight="1" x14ac:dyDescent="0.25">
      <c r="B6" s="330" t="s">
        <v>491</v>
      </c>
      <c r="C6" s="329"/>
      <c r="D6" s="334">
        <v>30517931</v>
      </c>
      <c r="E6" s="329"/>
      <c r="F6" s="329"/>
      <c r="G6" s="329"/>
      <c r="H6" s="329"/>
      <c r="I6" s="329"/>
      <c r="J6" s="329"/>
      <c r="K6" s="329"/>
      <c r="L6" s="329"/>
      <c r="M6" s="329"/>
      <c r="N6" s="331"/>
      <c r="O6" s="331">
        <f>500000+500000</f>
        <v>1000000</v>
      </c>
      <c r="P6" s="329"/>
      <c r="Q6" s="325">
        <f t="shared" ref="Q6:Q15" si="0">SUM(C6:P6)</f>
        <v>31517931</v>
      </c>
      <c r="T6" s="332"/>
      <c r="U6" s="332"/>
    </row>
    <row r="7" spans="2:21" s="324" customFormat="1" ht="35.1" customHeight="1" x14ac:dyDescent="0.25">
      <c r="B7" s="330" t="s">
        <v>681</v>
      </c>
      <c r="C7" s="329"/>
      <c r="D7" s="329">
        <f>6082795+2490345+20000000+70000000</f>
        <v>98573140</v>
      </c>
      <c r="E7" s="329"/>
      <c r="F7" s="329"/>
      <c r="G7" s="329">
        <f>3250000+3250000+1625000+3250000+1625000+2440000+12462150</f>
        <v>27902150</v>
      </c>
      <c r="H7" s="329"/>
      <c r="I7" s="329">
        <v>19000000</v>
      </c>
      <c r="J7" s="329">
        <v>3500000</v>
      </c>
      <c r="K7" s="329"/>
      <c r="L7" s="329"/>
      <c r="M7" s="329"/>
      <c r="N7" s="331">
        <f>1140586+1200000</f>
        <v>2340586</v>
      </c>
      <c r="O7" s="331">
        <f>8500000+4577381-4577381</f>
        <v>8500000</v>
      </c>
      <c r="P7" s="329">
        <v>27660000</v>
      </c>
      <c r="Q7" s="325">
        <f t="shared" si="0"/>
        <v>187475876</v>
      </c>
      <c r="T7" s="332"/>
      <c r="U7" s="333"/>
    </row>
    <row r="8" spans="2:21" s="324" customFormat="1" ht="35.1" customHeight="1" x14ac:dyDescent="0.25">
      <c r="B8" s="330" t="s">
        <v>266</v>
      </c>
      <c r="C8" s="329"/>
      <c r="D8" s="329"/>
      <c r="E8" s="329"/>
      <c r="F8" s="329"/>
      <c r="G8" s="329"/>
      <c r="H8" s="329">
        <v>292000</v>
      </c>
      <c r="I8" s="329"/>
      <c r="J8" s="329"/>
      <c r="K8" s="329"/>
      <c r="L8" s="329"/>
      <c r="M8" s="329"/>
      <c r="N8" s="331"/>
      <c r="O8" s="331"/>
      <c r="P8" s="329"/>
      <c r="Q8" s="325">
        <f t="shared" si="0"/>
        <v>292000</v>
      </c>
      <c r="T8" s="332"/>
      <c r="U8" s="333"/>
    </row>
    <row r="9" spans="2:21" s="324" customFormat="1" ht="35.1" customHeight="1" x14ac:dyDescent="0.25">
      <c r="B9" s="330" t="s">
        <v>626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31"/>
      <c r="O9" s="331"/>
      <c r="P9" s="329">
        <v>74320</v>
      </c>
      <c r="Q9" s="325">
        <f t="shared" si="0"/>
        <v>74320</v>
      </c>
      <c r="T9" s="332"/>
      <c r="U9" s="333"/>
    </row>
    <row r="10" spans="2:21" s="324" customFormat="1" ht="35.1" customHeight="1" x14ac:dyDescent="0.25">
      <c r="B10" s="330" t="s">
        <v>227</v>
      </c>
      <c r="C10" s="329"/>
      <c r="D10" s="329"/>
      <c r="E10" s="329"/>
      <c r="F10" s="329">
        <v>96059</v>
      </c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5">
        <f t="shared" si="0"/>
        <v>96059</v>
      </c>
      <c r="T10" s="332"/>
      <c r="U10" s="332"/>
    </row>
    <row r="11" spans="2:21" s="324" customFormat="1" ht="35.1" customHeight="1" x14ac:dyDescent="0.25">
      <c r="B11" s="330" t="s">
        <v>680</v>
      </c>
      <c r="C11" s="329"/>
      <c r="D11" s="329"/>
      <c r="E11" s="329"/>
      <c r="F11" s="329"/>
      <c r="G11" s="329">
        <f>44100+44100+73500</f>
        <v>161700</v>
      </c>
      <c r="H11" s="329"/>
      <c r="I11" s="329"/>
      <c r="J11" s="329"/>
      <c r="K11" s="329">
        <f>490000-141621</f>
        <v>348379</v>
      </c>
      <c r="L11" s="329"/>
      <c r="M11" s="329"/>
      <c r="N11" s="331"/>
      <c r="O11" s="331"/>
      <c r="P11" s="329"/>
      <c r="Q11" s="325">
        <f t="shared" si="0"/>
        <v>510079</v>
      </c>
      <c r="T11" s="332"/>
      <c r="U11" s="333"/>
    </row>
    <row r="12" spans="2:21" s="324" customFormat="1" ht="35.1" customHeight="1" x14ac:dyDescent="0.25">
      <c r="B12" s="330" t="s">
        <v>225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31"/>
      <c r="O12" s="331"/>
      <c r="P12" s="329"/>
      <c r="Q12" s="325">
        <f t="shared" si="0"/>
        <v>0</v>
      </c>
      <c r="T12" s="332"/>
      <c r="U12" s="332"/>
    </row>
    <row r="13" spans="2:21" s="324" customFormat="1" ht="35.1" customHeight="1" x14ac:dyDescent="0.25">
      <c r="B13" s="330" t="s">
        <v>826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>
        <v>4900000</v>
      </c>
      <c r="N13" s="331"/>
      <c r="O13" s="331"/>
      <c r="P13" s="329"/>
      <c r="Q13" s="325">
        <f t="shared" si="0"/>
        <v>4900000</v>
      </c>
    </row>
    <row r="14" spans="2:21" s="324" customFormat="1" ht="35.1" customHeight="1" x14ac:dyDescent="0.25">
      <c r="B14" s="330" t="s">
        <v>679</v>
      </c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31"/>
      <c r="O14" s="331"/>
      <c r="P14" s="329">
        <v>11500000</v>
      </c>
      <c r="Q14" s="325">
        <f t="shared" si="0"/>
        <v>11500000</v>
      </c>
    </row>
    <row r="15" spans="2:21" s="324" customFormat="1" ht="35.1" hidden="1" customHeight="1" x14ac:dyDescent="0.25">
      <c r="B15" s="330" t="s">
        <v>273</v>
      </c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5">
        <f t="shared" si="0"/>
        <v>0</v>
      </c>
    </row>
    <row r="16" spans="2:21" s="324" customFormat="1" ht="35.1" customHeight="1" x14ac:dyDescent="0.25">
      <c r="B16" s="328" t="s">
        <v>248</v>
      </c>
      <c r="C16" s="327">
        <f t="shared" ref="C16:Q16" si="1">SUM(C4:C15)</f>
        <v>0</v>
      </c>
      <c r="D16" s="325">
        <f t="shared" si="1"/>
        <v>129091071</v>
      </c>
      <c r="E16" s="325">
        <f t="shared" si="1"/>
        <v>0</v>
      </c>
      <c r="F16" s="325">
        <f t="shared" si="1"/>
        <v>96059</v>
      </c>
      <c r="G16" s="325">
        <f t="shared" si="1"/>
        <v>28063850</v>
      </c>
      <c r="H16" s="325">
        <f t="shared" si="1"/>
        <v>292000</v>
      </c>
      <c r="I16" s="325">
        <f t="shared" si="1"/>
        <v>19000000</v>
      </c>
      <c r="J16" s="325">
        <f t="shared" si="1"/>
        <v>3500000</v>
      </c>
      <c r="K16" s="325">
        <f t="shared" si="1"/>
        <v>348379</v>
      </c>
      <c r="L16" s="325">
        <f t="shared" si="1"/>
        <v>0</v>
      </c>
      <c r="M16" s="325">
        <f t="shared" si="1"/>
        <v>4900000</v>
      </c>
      <c r="N16" s="326">
        <f t="shared" si="1"/>
        <v>2340586</v>
      </c>
      <c r="O16" s="325">
        <f t="shared" si="1"/>
        <v>9500000</v>
      </c>
      <c r="P16" s="325">
        <f t="shared" si="1"/>
        <v>39234320</v>
      </c>
      <c r="Q16" s="325">
        <f t="shared" si="1"/>
        <v>236366265</v>
      </c>
    </row>
    <row r="17" spans="2:14" x14ac:dyDescent="0.3">
      <c r="C17" s="299"/>
    </row>
    <row r="18" spans="2:14" x14ac:dyDescent="0.3">
      <c r="B18" s="301"/>
    </row>
    <row r="19" spans="2:14" hidden="1" x14ac:dyDescent="0.3">
      <c r="N19" s="301">
        <f>N16+H16+F16+D16+K16+I16</f>
        <v>151168095</v>
      </c>
    </row>
  </sheetData>
  <sheetProtection algorithmName="SHA-512" hashValue="cgtPo6Gnn+SU6/h5uOHsrFG2LjZpWLIZ2odmjnivY8i1DdMPEiUFiULt1GZuxLZgjsUZyL1YSEYsQlM6zHcKFA==" saltValue="tExQuH8cPhMWzESZg6/Ijg==" spinCount="100000" sheet="1" objects="1" scenarios="1"/>
  <mergeCells count="2">
    <mergeCell ref="B1:Q1"/>
    <mergeCell ref="L3:M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24.109375" style="253" customWidth="1"/>
    <col min="5" max="5" width="34.5546875" style="253" customWidth="1"/>
    <col min="6" max="6" width="5.664062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A3" s="258"/>
      <c r="C3" s="255" t="s">
        <v>491</v>
      </c>
      <c r="D3" s="258"/>
      <c r="E3" s="258"/>
      <c r="F3" s="258"/>
      <c r="G3" s="258"/>
      <c r="H3" s="258"/>
      <c r="I3" s="258"/>
      <c r="J3" s="258"/>
      <c r="K3" s="258"/>
      <c r="L3" s="258"/>
    </row>
    <row r="4" spans="1:17" ht="21.6" thickBot="1" x14ac:dyDescent="0.3">
      <c r="A4" s="258"/>
      <c r="C4" s="255"/>
      <c r="D4" s="258"/>
      <c r="E4" s="258"/>
      <c r="F4" s="258"/>
      <c r="G4" s="258"/>
      <c r="H4" s="258"/>
      <c r="I4" s="258"/>
      <c r="J4" s="258"/>
      <c r="K4" s="258"/>
      <c r="L4" s="258"/>
    </row>
    <row r="5" spans="1:17" ht="16.2" thickBot="1" x14ac:dyDescent="0.3">
      <c r="A5" s="258"/>
      <c r="B5" s="343" t="s">
        <v>588</v>
      </c>
      <c r="C5" s="258" t="s">
        <v>700</v>
      </c>
      <c r="D5" s="258"/>
      <c r="E5" s="258"/>
      <c r="F5" s="258"/>
      <c r="H5" s="360">
        <f>'פרוט הנדסה '!U122</f>
        <v>17494931</v>
      </c>
      <c r="I5" s="258"/>
      <c r="J5" s="258"/>
      <c r="K5" s="258"/>
      <c r="L5" s="258"/>
    </row>
    <row r="6" spans="1:17" ht="21.6" thickBot="1" x14ac:dyDescent="0.3">
      <c r="A6" s="258"/>
      <c r="C6" s="255"/>
      <c r="D6" s="258"/>
      <c r="E6" s="258"/>
      <c r="F6" s="258"/>
      <c r="H6" s="258"/>
      <c r="I6" s="258"/>
      <c r="J6" s="258"/>
      <c r="K6" s="258"/>
      <c r="L6" s="258"/>
    </row>
    <row r="7" spans="1:17" ht="16.2" thickBot="1" x14ac:dyDescent="0.3">
      <c r="B7" s="343" t="s">
        <v>588</v>
      </c>
      <c r="C7" s="258" t="s">
        <v>699</v>
      </c>
      <c r="D7" s="258"/>
      <c r="F7" s="258"/>
      <c r="H7" s="360">
        <f>'פרוט הנדסה '!A122</f>
        <v>107</v>
      </c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/>
      <c r="C8" s="258"/>
      <c r="D8" s="258"/>
      <c r="E8" s="258"/>
      <c r="F8" s="258"/>
      <c r="H8" s="258"/>
      <c r="I8" s="258"/>
      <c r="J8" s="258"/>
      <c r="K8" s="258"/>
      <c r="L8" s="258"/>
      <c r="M8" s="258"/>
      <c r="N8" s="258"/>
      <c r="O8" s="258"/>
      <c r="P8" s="258"/>
      <c r="Q8" s="258"/>
    </row>
    <row r="9" spans="1:17" ht="15.6" x14ac:dyDescent="0.25">
      <c r="B9" s="343" t="s">
        <v>588</v>
      </c>
      <c r="C9" s="258" t="s">
        <v>698</v>
      </c>
      <c r="D9" s="258"/>
      <c r="E9" s="258"/>
      <c r="F9" s="258"/>
      <c r="G9" s="258"/>
      <c r="H9" s="258"/>
      <c r="I9" s="258"/>
      <c r="J9" s="258"/>
      <c r="K9" s="258"/>
      <c r="L9" s="258"/>
    </row>
    <row r="10" spans="1:17" ht="16.2" thickBot="1" x14ac:dyDescent="0.3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D11" s="354" t="s">
        <v>571</v>
      </c>
      <c r="E11" s="358" t="s">
        <v>693</v>
      </c>
      <c r="F11" s="294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13</v>
      </c>
      <c r="E12" s="367">
        <f>'פרוט הנדסה '!V122</f>
        <v>-14023000</v>
      </c>
      <c r="F12" s="265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223</v>
      </c>
      <c r="E13" s="367">
        <f>'פרוט הנדסה '!Y122</f>
        <v>31517931</v>
      </c>
      <c r="F13" s="265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6.2" thickBot="1" x14ac:dyDescent="0.3">
      <c r="C14" s="343"/>
      <c r="D14" s="350" t="s">
        <v>248</v>
      </c>
      <c r="E14" s="418">
        <f>SUM(E12:E13)</f>
        <v>17494931</v>
      </c>
      <c r="F14" s="265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5.6" x14ac:dyDescent="0.25">
      <c r="B15" s="343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 t="s">
        <v>588</v>
      </c>
      <c r="C16" s="258" t="s">
        <v>696</v>
      </c>
      <c r="D16" s="258"/>
      <c r="F16" s="258"/>
      <c r="H16" s="265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6.2" thickBot="1" x14ac:dyDescent="0.3">
      <c r="C17" s="258"/>
      <c r="D17" s="258"/>
      <c r="E17" s="258"/>
      <c r="F17" s="258"/>
      <c r="H17" s="258"/>
      <c r="I17" s="258"/>
      <c r="J17" s="258"/>
      <c r="K17" s="258"/>
      <c r="L17" s="258"/>
    </row>
    <row r="18" spans="1:17" ht="20.100000000000001" customHeight="1" x14ac:dyDescent="0.25">
      <c r="A18" s="258"/>
      <c r="C18" s="283" t="s">
        <v>695</v>
      </c>
      <c r="D18" s="284"/>
      <c r="E18" s="437" t="s">
        <v>694</v>
      </c>
      <c r="F18" s="438"/>
      <c r="G18" s="439"/>
      <c r="H18" s="349" t="s">
        <v>693</v>
      </c>
      <c r="M18" s="258"/>
      <c r="N18" s="258"/>
      <c r="O18" s="258"/>
    </row>
    <row r="19" spans="1:17" ht="63" customHeight="1" x14ac:dyDescent="0.25">
      <c r="A19" s="258"/>
      <c r="C19" s="288" t="s">
        <v>692</v>
      </c>
      <c r="D19" s="278"/>
      <c r="E19" s="440" t="s">
        <v>702</v>
      </c>
      <c r="F19" s="441"/>
      <c r="G19" s="442"/>
      <c r="H19" s="348">
        <f>'פרוט הנדסה '!U73</f>
        <v>16245931</v>
      </c>
      <c r="M19" s="258"/>
      <c r="N19" s="258"/>
      <c r="O19" s="258"/>
    </row>
    <row r="20" spans="1:17" ht="31.5" customHeight="1" x14ac:dyDescent="0.3">
      <c r="A20" s="258"/>
      <c r="C20" s="288" t="s">
        <v>691</v>
      </c>
      <c r="D20" s="277"/>
      <c r="E20" s="443" t="s">
        <v>703</v>
      </c>
      <c r="F20" s="444"/>
      <c r="G20" s="445"/>
      <c r="H20" s="348">
        <f>'פרוט הנדסה '!U101</f>
        <v>2019000</v>
      </c>
      <c r="M20" s="258"/>
      <c r="N20" s="258"/>
      <c r="O20" s="258"/>
    </row>
    <row r="21" spans="1:17" ht="20.100000000000001" customHeight="1" x14ac:dyDescent="0.3">
      <c r="A21" s="258"/>
      <c r="C21" s="288" t="s">
        <v>690</v>
      </c>
      <c r="D21" s="297"/>
      <c r="E21" s="446" t="s">
        <v>821</v>
      </c>
      <c r="F21" s="447"/>
      <c r="G21" s="448"/>
      <c r="H21" s="348">
        <f>'פרוט הנדסה '!U120</f>
        <v>-770000</v>
      </c>
      <c r="L21" s="282"/>
      <c r="M21" s="258"/>
      <c r="N21" s="258"/>
      <c r="O21" s="258"/>
    </row>
    <row r="22" spans="1:17" ht="20.100000000000001" customHeight="1" thickBot="1" x14ac:dyDescent="0.35">
      <c r="A22" s="258"/>
      <c r="C22" s="290" t="s">
        <v>248</v>
      </c>
      <c r="D22" s="291"/>
      <c r="E22" s="347"/>
      <c r="F22" s="346"/>
      <c r="G22" s="345"/>
      <c r="H22" s="344">
        <f>SUM(H19:H21)</f>
        <v>17494931</v>
      </c>
      <c r="M22" s="258"/>
      <c r="N22" s="258"/>
      <c r="O22" s="258"/>
    </row>
    <row r="23" spans="1:17" ht="15.6" x14ac:dyDescent="0.25">
      <c r="B23" s="343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1:17" ht="15.6" x14ac:dyDescent="0.25">
      <c r="C24" s="343" t="s">
        <v>588</v>
      </c>
      <c r="D24" s="258" t="s">
        <v>704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  <row r="25" spans="1:17" ht="15.6" x14ac:dyDescent="0.25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1:17" ht="15.6" x14ac:dyDescent="0.25">
      <c r="A26" s="258"/>
      <c r="B26" s="258"/>
      <c r="C26" s="258"/>
      <c r="D26" s="258" t="s">
        <v>786</v>
      </c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</row>
    <row r="27" spans="1:17" ht="15.6" x14ac:dyDescent="0.25">
      <c r="A27" s="26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</row>
    <row r="28" spans="1:17" ht="15.6" x14ac:dyDescent="0.25">
      <c r="D28" s="258" t="s">
        <v>787</v>
      </c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</row>
  </sheetData>
  <sheetProtection algorithmName="SHA-512" hashValue="/ed/Rao8xCt0a2WjZXLkYaoTgfTyvlLc3pWXGvVVpE/LByTGmQbLNxO0LnAkELimvgYPmo1WbFmf0GE4ppTw6g==" saltValue="/jr2qwJbFoTbQju6lKrL3w==" spinCount="100000" sheet="1" objects="1" scenarios="1"/>
  <mergeCells count="4">
    <mergeCell ref="E18:G18"/>
    <mergeCell ref="E19:G19"/>
    <mergeCell ref="E20:G20"/>
    <mergeCell ref="E21:G21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145"/>
  <sheetViews>
    <sheetView showZeros="0" rightToLeft="1" zoomScaleNormal="100" workbookViewId="0">
      <pane xSplit="3" ySplit="4" topLeftCell="D91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5546875" style="80" customWidth="1"/>
    <col min="2" max="2" width="6.6640625" style="80" customWidth="1"/>
    <col min="3" max="3" width="38.33203125" style="80" customWidth="1"/>
    <col min="4" max="4" width="11.33203125" style="213" customWidth="1"/>
    <col min="5" max="5" width="11.88671875" style="105" customWidth="1"/>
    <col min="6" max="6" width="11.109375" style="105" customWidth="1"/>
    <col min="7" max="10" width="12.6640625" style="105" hidden="1" customWidth="1"/>
    <col min="11" max="11" width="11.33203125" style="105" hidden="1" customWidth="1"/>
    <col min="12" max="12" width="11.44140625" style="105" customWidth="1"/>
    <col min="13" max="14" width="11.109375" style="213" bestFit="1" customWidth="1"/>
    <col min="15" max="15" width="12.6640625" style="213" customWidth="1"/>
    <col min="16" max="17" width="11.109375" style="213" hidden="1" customWidth="1"/>
    <col min="18" max="18" width="12" style="213" hidden="1" customWidth="1"/>
    <col min="19" max="19" width="11.6640625" style="213" hidden="1" customWidth="1"/>
    <col min="20" max="20" width="10.44140625" style="213" customWidth="1"/>
    <col min="21" max="21" width="10.6640625" style="211" customWidth="1"/>
    <col min="22" max="22" width="11.109375" style="80" customWidth="1"/>
    <col min="23" max="23" width="7" style="80" hidden="1" customWidth="1"/>
    <col min="24" max="24" width="4.88671875" style="80" hidden="1" customWidth="1"/>
    <col min="25" max="25" width="10" style="80" customWidth="1"/>
    <col min="26" max="26" width="7.88671875" style="80" hidden="1" customWidth="1"/>
    <col min="27" max="27" width="13" style="80" customWidth="1"/>
    <col min="28" max="28" width="10.109375" style="80" customWidth="1"/>
    <col min="29" max="29" width="9.109375" style="80"/>
    <col min="30" max="30" width="10.88671875" style="80" customWidth="1"/>
    <col min="31" max="32" width="9.109375" style="80" customWidth="1"/>
    <col min="33" max="16384" width="9.109375" style="80"/>
  </cols>
  <sheetData>
    <row r="2" spans="1:32" ht="18" x14ac:dyDescent="0.35">
      <c r="A2" s="449" t="s">
        <v>491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</row>
    <row r="3" spans="1:32" x14ac:dyDescent="0.25">
      <c r="D3" s="212"/>
      <c r="E3" s="195"/>
      <c r="F3" s="195"/>
      <c r="G3" s="195"/>
      <c r="H3" s="195"/>
      <c r="I3" s="195"/>
      <c r="J3" s="195"/>
      <c r="K3" s="195"/>
      <c r="L3" s="195"/>
      <c r="M3" s="212"/>
      <c r="N3" s="212"/>
      <c r="O3" s="212"/>
      <c r="P3" s="212"/>
      <c r="Q3" s="212"/>
      <c r="R3" s="212"/>
      <c r="S3" s="212"/>
      <c r="T3" s="212"/>
      <c r="U3" s="208"/>
      <c r="V3" s="196"/>
      <c r="W3" s="196"/>
      <c r="X3" s="196"/>
      <c r="Y3" s="196"/>
    </row>
    <row r="4" spans="1:32" s="83" customFormat="1" ht="86.25" customHeight="1" x14ac:dyDescent="0.25">
      <c r="A4" s="82" t="s">
        <v>830</v>
      </c>
      <c r="B4" s="82" t="s">
        <v>1</v>
      </c>
      <c r="C4" s="82" t="s">
        <v>2</v>
      </c>
      <c r="D4" s="169" t="s">
        <v>3</v>
      </c>
      <c r="E4" s="82" t="s">
        <v>4</v>
      </c>
      <c r="F4" s="82" t="s">
        <v>5</v>
      </c>
      <c r="G4" s="82" t="s">
        <v>6</v>
      </c>
      <c r="H4" s="82" t="s">
        <v>7</v>
      </c>
      <c r="I4" s="82" t="s">
        <v>8</v>
      </c>
      <c r="J4" s="82" t="s">
        <v>9</v>
      </c>
      <c r="K4" s="82" t="s">
        <v>10</v>
      </c>
      <c r="L4" s="82" t="s">
        <v>11</v>
      </c>
      <c r="M4" s="169" t="s">
        <v>492</v>
      </c>
      <c r="N4" s="169" t="s">
        <v>299</v>
      </c>
      <c r="O4" s="169" t="s">
        <v>300</v>
      </c>
      <c r="P4" s="169" t="s">
        <v>12</v>
      </c>
      <c r="Q4" s="169" t="s">
        <v>301</v>
      </c>
      <c r="R4" s="169" t="s">
        <v>302</v>
      </c>
      <c r="S4" s="169" t="s">
        <v>303</v>
      </c>
      <c r="T4" s="169" t="s">
        <v>304</v>
      </c>
      <c r="U4" s="169" t="s">
        <v>305</v>
      </c>
      <c r="V4" s="82" t="s">
        <v>13</v>
      </c>
      <c r="W4" s="82" t="s">
        <v>14</v>
      </c>
      <c r="X4" s="82" t="s">
        <v>15</v>
      </c>
      <c r="Y4" s="82" t="s">
        <v>223</v>
      </c>
      <c r="Z4" s="82" t="s">
        <v>16</v>
      </c>
    </row>
    <row r="5" spans="1:32" s="87" customFormat="1" x14ac:dyDescent="0.25">
      <c r="A5" s="84"/>
      <c r="B5" s="84"/>
      <c r="C5" s="84"/>
      <c r="D5" s="94"/>
      <c r="E5" s="88"/>
      <c r="F5" s="88"/>
      <c r="G5" s="88"/>
      <c r="H5" s="88"/>
      <c r="I5" s="88"/>
      <c r="J5" s="88"/>
      <c r="K5" s="88"/>
      <c r="L5" s="88"/>
      <c r="M5" s="94"/>
      <c r="N5" s="94"/>
      <c r="O5" s="94"/>
      <c r="P5" s="94"/>
      <c r="Q5" s="94"/>
      <c r="R5" s="94"/>
      <c r="S5" s="94"/>
      <c r="T5" s="94"/>
      <c r="U5" s="94"/>
      <c r="V5" s="88"/>
      <c r="W5" s="88"/>
      <c r="X5" s="88"/>
      <c r="Y5" s="84"/>
      <c r="Z5" s="84"/>
    </row>
    <row r="6" spans="1:32" s="87" customFormat="1" x14ac:dyDescent="0.25">
      <c r="A6" s="84"/>
      <c r="B6" s="84"/>
      <c r="C6" s="90"/>
      <c r="D6" s="94"/>
      <c r="E6" s="88"/>
      <c r="F6" s="88"/>
      <c r="G6" s="88"/>
      <c r="H6" s="88"/>
      <c r="I6" s="88"/>
      <c r="J6" s="88"/>
      <c r="K6" s="88"/>
      <c r="L6" s="88"/>
      <c r="M6" s="94"/>
      <c r="N6" s="94"/>
      <c r="O6" s="94"/>
      <c r="P6" s="94"/>
      <c r="Q6" s="94"/>
      <c r="R6" s="94"/>
      <c r="S6" s="94"/>
      <c r="T6" s="94"/>
      <c r="U6" s="94"/>
      <c r="V6" s="88"/>
      <c r="W6" s="88"/>
      <c r="X6" s="88"/>
      <c r="Y6" s="84"/>
      <c r="Z6" s="84"/>
    </row>
    <row r="7" spans="1:32" s="87" customFormat="1" x14ac:dyDescent="0.25">
      <c r="A7" s="84">
        <f>A6+1</f>
        <v>1</v>
      </c>
      <c r="B7" s="84">
        <v>179</v>
      </c>
      <c r="C7" s="84" t="s">
        <v>48</v>
      </c>
      <c r="D7" s="94">
        <v>3000000</v>
      </c>
      <c r="E7" s="88">
        <v>3000000</v>
      </c>
      <c r="F7" s="88">
        <f t="shared" ref="F7:F38" si="0">D7-E7</f>
        <v>0</v>
      </c>
      <c r="G7" s="88">
        <v>2895250</v>
      </c>
      <c r="H7" s="88">
        <v>2612020.5499999998</v>
      </c>
      <c r="I7" s="88">
        <v>89797</v>
      </c>
      <c r="J7" s="88"/>
      <c r="K7" s="88">
        <f t="shared" ref="K7:K38" si="1">SUM(I7:J7)</f>
        <v>89797</v>
      </c>
      <c r="L7" s="88">
        <f t="shared" ref="L7:L38" si="2">H7+K7</f>
        <v>2701817.55</v>
      </c>
      <c r="M7" s="94">
        <f>P7+S7</f>
        <v>268432.45000000019</v>
      </c>
      <c r="N7" s="94"/>
      <c r="O7" s="94">
        <f t="shared" ref="O7:O38" si="3">D7-L7-M7-N7</f>
        <v>29750</v>
      </c>
      <c r="P7" s="94">
        <f t="shared" ref="P7:P38" si="4">G7-L7</f>
        <v>193432.45000000019</v>
      </c>
      <c r="Q7" s="94">
        <v>75000</v>
      </c>
      <c r="R7" s="94"/>
      <c r="S7" s="94">
        <f t="shared" ref="S7:S38" si="5">SUM(Q7:R7)</f>
        <v>75000</v>
      </c>
      <c r="T7" s="94">
        <f t="shared" ref="T7:T38" si="6">P7-M7+S7</f>
        <v>0</v>
      </c>
      <c r="U7" s="94">
        <f t="shared" ref="U7:U38" si="7">N7-T7</f>
        <v>0</v>
      </c>
      <c r="V7" s="88">
        <f t="shared" ref="V7:V38" si="8">U7-Y7-W7-X7</f>
        <v>0</v>
      </c>
      <c r="W7" s="88"/>
      <c r="X7" s="88"/>
      <c r="Y7" s="84"/>
      <c r="Z7" s="84">
        <v>732000</v>
      </c>
    </row>
    <row r="8" spans="1:32" s="87" customFormat="1" x14ac:dyDescent="0.25">
      <c r="A8" s="84">
        <f t="shared" ref="A8:A70" si="9">A7+1</f>
        <v>2</v>
      </c>
      <c r="B8" s="84">
        <v>304</v>
      </c>
      <c r="C8" s="84" t="s">
        <v>95</v>
      </c>
      <c r="D8" s="94">
        <v>54950000</v>
      </c>
      <c r="E8" s="88">
        <v>54950000</v>
      </c>
      <c r="F8" s="88">
        <f t="shared" si="0"/>
        <v>0</v>
      </c>
      <c r="G8" s="88">
        <v>54950000</v>
      </c>
      <c r="H8" s="88">
        <v>54780522.609999999</v>
      </c>
      <c r="I8" s="88">
        <v>8683.6299999999992</v>
      </c>
      <c r="J8" s="88">
        <v>149074.13</v>
      </c>
      <c r="K8" s="88">
        <f t="shared" si="1"/>
        <v>157757.76000000001</v>
      </c>
      <c r="L8" s="88">
        <f t="shared" si="2"/>
        <v>54938280.369999997</v>
      </c>
      <c r="M8" s="94">
        <f>P8+S8</f>
        <v>11719.630000002682</v>
      </c>
      <c r="N8" s="94"/>
      <c r="O8" s="94">
        <f t="shared" si="3"/>
        <v>0</v>
      </c>
      <c r="P8" s="94">
        <f t="shared" si="4"/>
        <v>11719.630000002682</v>
      </c>
      <c r="Q8" s="94"/>
      <c r="R8" s="94"/>
      <c r="S8" s="94">
        <f t="shared" si="5"/>
        <v>0</v>
      </c>
      <c r="T8" s="94">
        <f t="shared" si="6"/>
        <v>0</v>
      </c>
      <c r="U8" s="94">
        <f t="shared" si="7"/>
        <v>0</v>
      </c>
      <c r="V8" s="88">
        <f t="shared" si="8"/>
        <v>0</v>
      </c>
      <c r="W8" s="88"/>
      <c r="X8" s="88"/>
      <c r="Y8" s="84"/>
      <c r="Z8" s="84">
        <v>746000</v>
      </c>
    </row>
    <row r="9" spans="1:32" s="87" customFormat="1" x14ac:dyDescent="0.25">
      <c r="A9" s="84">
        <f t="shared" si="9"/>
        <v>3</v>
      </c>
      <c r="B9" s="84">
        <v>502</v>
      </c>
      <c r="C9" s="84" t="s">
        <v>96</v>
      </c>
      <c r="D9" s="94">
        <f>63700000-517000</f>
        <v>63183000</v>
      </c>
      <c r="E9" s="88">
        <v>63700000</v>
      </c>
      <c r="F9" s="88">
        <f t="shared" si="0"/>
        <v>-517000</v>
      </c>
      <c r="G9" s="88">
        <v>63183000</v>
      </c>
      <c r="H9" s="88">
        <v>63178078.729999997</v>
      </c>
      <c r="I9" s="88">
        <v>4635.8500000000004</v>
      </c>
      <c r="J9" s="88">
        <v>71.040000000000006</v>
      </c>
      <c r="K9" s="88">
        <f t="shared" si="1"/>
        <v>4706.8900000000003</v>
      </c>
      <c r="L9" s="88">
        <f t="shared" si="2"/>
        <v>63182785.619999997</v>
      </c>
      <c r="M9" s="94">
        <f>P9+S9</f>
        <v>214.38000000268221</v>
      </c>
      <c r="N9" s="94"/>
      <c r="O9" s="94">
        <f t="shared" si="3"/>
        <v>0</v>
      </c>
      <c r="P9" s="94">
        <f t="shared" si="4"/>
        <v>214.38000000268221</v>
      </c>
      <c r="Q9" s="94"/>
      <c r="R9" s="94"/>
      <c r="S9" s="94">
        <f t="shared" si="5"/>
        <v>0</v>
      </c>
      <c r="T9" s="94">
        <f t="shared" si="6"/>
        <v>0</v>
      </c>
      <c r="U9" s="94">
        <f t="shared" si="7"/>
        <v>0</v>
      </c>
      <c r="V9" s="88">
        <f t="shared" si="8"/>
        <v>0</v>
      </c>
      <c r="W9" s="88"/>
      <c r="X9" s="88"/>
      <c r="Y9" s="84"/>
      <c r="Z9" s="84">
        <v>742000</v>
      </c>
      <c r="AB9" s="92"/>
      <c r="AC9" s="92"/>
      <c r="AD9" s="92"/>
      <c r="AE9" s="92"/>
      <c r="AF9" s="92"/>
    </row>
    <row r="10" spans="1:32" s="87" customFormat="1" x14ac:dyDescent="0.25">
      <c r="A10" s="84">
        <f t="shared" si="9"/>
        <v>4</v>
      </c>
      <c r="B10" s="84">
        <v>507</v>
      </c>
      <c r="C10" s="84" t="s">
        <v>72</v>
      </c>
      <c r="D10" s="94">
        <v>1810000</v>
      </c>
      <c r="E10" s="88">
        <v>1810000</v>
      </c>
      <c r="F10" s="88">
        <f t="shared" si="0"/>
        <v>0</v>
      </c>
      <c r="G10" s="88">
        <v>1810000</v>
      </c>
      <c r="H10" s="88">
        <v>1653104.23</v>
      </c>
      <c r="I10" s="88">
        <v>11432.19</v>
      </c>
      <c r="J10" s="88"/>
      <c r="K10" s="88">
        <f t="shared" si="1"/>
        <v>11432.19</v>
      </c>
      <c r="L10" s="88">
        <f t="shared" si="2"/>
        <v>1664536.42</v>
      </c>
      <c r="M10" s="94">
        <f>P10+S10-145000</f>
        <v>463.58000000007451</v>
      </c>
      <c r="N10" s="94"/>
      <c r="O10" s="94">
        <f t="shared" si="3"/>
        <v>145000</v>
      </c>
      <c r="P10" s="94">
        <f t="shared" si="4"/>
        <v>145463.58000000007</v>
      </c>
      <c r="Q10" s="94"/>
      <c r="R10" s="94"/>
      <c r="S10" s="94">
        <f t="shared" si="5"/>
        <v>0</v>
      </c>
      <c r="T10" s="94">
        <f t="shared" si="6"/>
        <v>145000</v>
      </c>
      <c r="U10" s="94">
        <f t="shared" si="7"/>
        <v>-145000</v>
      </c>
      <c r="V10" s="88">
        <f t="shared" si="8"/>
        <v>-145000</v>
      </c>
      <c r="W10" s="88"/>
      <c r="X10" s="88"/>
      <c r="Y10" s="84"/>
      <c r="Z10" s="84">
        <v>742000</v>
      </c>
      <c r="AB10" s="92"/>
      <c r="AC10" s="92"/>
      <c r="AD10" s="92"/>
      <c r="AE10" s="92"/>
      <c r="AF10" s="92"/>
    </row>
    <row r="11" spans="1:32" s="87" customFormat="1" x14ac:dyDescent="0.25">
      <c r="A11" s="84">
        <f t="shared" si="9"/>
        <v>5</v>
      </c>
      <c r="B11" s="93">
        <v>546</v>
      </c>
      <c r="C11" s="93" t="s">
        <v>73</v>
      </c>
      <c r="D11" s="94">
        <v>5850000</v>
      </c>
      <c r="E11" s="94">
        <v>5850000</v>
      </c>
      <c r="F11" s="94">
        <f t="shared" si="0"/>
        <v>0</v>
      </c>
      <c r="G11" s="94">
        <v>3550000</v>
      </c>
      <c r="H11" s="94">
        <v>2895703.4</v>
      </c>
      <c r="I11" s="94">
        <v>18052.75</v>
      </c>
      <c r="J11" s="94"/>
      <c r="K11" s="94">
        <f t="shared" si="1"/>
        <v>18052.75</v>
      </c>
      <c r="L11" s="94">
        <f t="shared" si="2"/>
        <v>2913756.15</v>
      </c>
      <c r="M11" s="94">
        <f>P11+S11</f>
        <v>636243.85000000009</v>
      </c>
      <c r="N11" s="94"/>
      <c r="O11" s="94">
        <f t="shared" si="3"/>
        <v>2300000</v>
      </c>
      <c r="P11" s="94">
        <f t="shared" si="4"/>
        <v>636243.85000000009</v>
      </c>
      <c r="Q11" s="94"/>
      <c r="R11" s="94"/>
      <c r="S11" s="94">
        <f t="shared" si="5"/>
        <v>0</v>
      </c>
      <c r="T11" s="94">
        <f t="shared" si="6"/>
        <v>0</v>
      </c>
      <c r="U11" s="94">
        <f t="shared" si="7"/>
        <v>0</v>
      </c>
      <c r="V11" s="94">
        <f t="shared" si="8"/>
        <v>0</v>
      </c>
      <c r="W11" s="94"/>
      <c r="X11" s="94"/>
      <c r="Y11" s="93"/>
      <c r="Z11" s="93">
        <v>742000</v>
      </c>
      <c r="AA11" s="95"/>
      <c r="AB11" s="95"/>
      <c r="AC11" s="95"/>
      <c r="AD11" s="95"/>
      <c r="AE11" s="95"/>
      <c r="AF11" s="95"/>
    </row>
    <row r="12" spans="1:32" s="87" customFormat="1" x14ac:dyDescent="0.25">
      <c r="A12" s="84">
        <f t="shared" si="9"/>
        <v>6</v>
      </c>
      <c r="B12" s="93">
        <v>592</v>
      </c>
      <c r="C12" s="93" t="s">
        <v>42</v>
      </c>
      <c r="D12" s="94">
        <v>40720000</v>
      </c>
      <c r="E12" s="94">
        <v>24500000</v>
      </c>
      <c r="F12" s="94">
        <f t="shared" si="0"/>
        <v>16220000</v>
      </c>
      <c r="G12" s="94">
        <v>18420000</v>
      </c>
      <c r="H12" s="94">
        <v>17191546.350000001</v>
      </c>
      <c r="I12" s="94">
        <v>41351.410000000003</v>
      </c>
      <c r="J12" s="94">
        <v>224333.65</v>
      </c>
      <c r="K12" s="94">
        <f t="shared" si="1"/>
        <v>265685.06</v>
      </c>
      <c r="L12" s="94">
        <f t="shared" si="2"/>
        <v>17457231.41</v>
      </c>
      <c r="M12" s="94">
        <f>P12+S12</f>
        <v>962768.58999999985</v>
      </c>
      <c r="N12" s="94"/>
      <c r="O12" s="94">
        <f t="shared" si="3"/>
        <v>22300000</v>
      </c>
      <c r="P12" s="94">
        <f t="shared" si="4"/>
        <v>962768.58999999985</v>
      </c>
      <c r="Q12" s="94"/>
      <c r="R12" s="94"/>
      <c r="S12" s="94">
        <f t="shared" si="5"/>
        <v>0</v>
      </c>
      <c r="T12" s="94">
        <f t="shared" si="6"/>
        <v>0</v>
      </c>
      <c r="U12" s="94">
        <f t="shared" si="7"/>
        <v>0</v>
      </c>
      <c r="V12" s="94">
        <f t="shared" si="8"/>
        <v>0</v>
      </c>
      <c r="W12" s="94"/>
      <c r="X12" s="94"/>
      <c r="Y12" s="93"/>
      <c r="Z12" s="93">
        <v>742000</v>
      </c>
      <c r="AA12" s="95"/>
      <c r="AB12" s="97"/>
      <c r="AC12" s="97"/>
      <c r="AD12" s="97"/>
      <c r="AE12" s="97"/>
      <c r="AF12" s="97"/>
    </row>
    <row r="13" spans="1:32" s="87" customFormat="1" x14ac:dyDescent="0.25">
      <c r="A13" s="84">
        <f t="shared" si="9"/>
        <v>7</v>
      </c>
      <c r="B13" s="93">
        <v>606</v>
      </c>
      <c r="C13" s="93" t="s">
        <v>97</v>
      </c>
      <c r="D13" s="94">
        <v>2800000</v>
      </c>
      <c r="E13" s="94">
        <v>2800000</v>
      </c>
      <c r="F13" s="94">
        <f t="shared" si="0"/>
        <v>0</v>
      </c>
      <c r="G13" s="94">
        <v>550000</v>
      </c>
      <c r="H13" s="94">
        <v>388487.75</v>
      </c>
      <c r="I13" s="94">
        <v>21510</v>
      </c>
      <c r="J13" s="94"/>
      <c r="K13" s="94">
        <f t="shared" si="1"/>
        <v>21510</v>
      </c>
      <c r="L13" s="94">
        <f t="shared" si="2"/>
        <v>409997.75</v>
      </c>
      <c r="M13" s="94">
        <f>P13+S13-140000</f>
        <v>2.25</v>
      </c>
      <c r="N13" s="94"/>
      <c r="O13" s="94">
        <f t="shared" si="3"/>
        <v>2390000</v>
      </c>
      <c r="P13" s="94">
        <f t="shared" si="4"/>
        <v>140002.25</v>
      </c>
      <c r="Q13" s="94"/>
      <c r="R13" s="94"/>
      <c r="S13" s="94">
        <f t="shared" si="5"/>
        <v>0</v>
      </c>
      <c r="T13" s="94">
        <f t="shared" si="6"/>
        <v>140000</v>
      </c>
      <c r="U13" s="94">
        <f t="shared" si="7"/>
        <v>-140000</v>
      </c>
      <c r="V13" s="94">
        <f t="shared" si="8"/>
        <v>-140000</v>
      </c>
      <c r="W13" s="94"/>
      <c r="X13" s="94"/>
      <c r="Y13" s="93"/>
      <c r="Z13" s="93">
        <v>742000</v>
      </c>
      <c r="AA13" s="95"/>
      <c r="AB13" s="95"/>
      <c r="AC13" s="95"/>
      <c r="AD13" s="95"/>
      <c r="AE13" s="95"/>
      <c r="AF13" s="95"/>
    </row>
    <row r="14" spans="1:32" s="87" customFormat="1" x14ac:dyDescent="0.25">
      <c r="A14" s="84">
        <f t="shared" si="9"/>
        <v>8</v>
      </c>
      <c r="B14" s="84">
        <v>608</v>
      </c>
      <c r="C14" s="84" t="s">
        <v>49</v>
      </c>
      <c r="D14" s="94">
        <v>7300000</v>
      </c>
      <c r="E14" s="88">
        <v>6000000</v>
      </c>
      <c r="F14" s="88">
        <f t="shared" si="0"/>
        <v>1300000</v>
      </c>
      <c r="G14" s="88">
        <v>5300000</v>
      </c>
      <c r="H14" s="88">
        <v>4636694</v>
      </c>
      <c r="I14" s="88">
        <v>513627</v>
      </c>
      <c r="J14" s="88"/>
      <c r="K14" s="88">
        <f t="shared" si="1"/>
        <v>513627</v>
      </c>
      <c r="L14" s="88">
        <f t="shared" si="2"/>
        <v>5150321</v>
      </c>
      <c r="M14" s="94">
        <f t="shared" ref="M14:M32" si="10">P14+S14</f>
        <v>149679</v>
      </c>
      <c r="N14" s="94">
        <f>1650000-650000-200000+850000</f>
        <v>1650000</v>
      </c>
      <c r="O14" s="94">
        <f t="shared" si="3"/>
        <v>350000</v>
      </c>
      <c r="P14" s="94">
        <f t="shared" si="4"/>
        <v>149679</v>
      </c>
      <c r="Q14" s="94"/>
      <c r="R14" s="94"/>
      <c r="S14" s="94">
        <f t="shared" si="5"/>
        <v>0</v>
      </c>
      <c r="T14" s="94">
        <f t="shared" si="6"/>
        <v>0</v>
      </c>
      <c r="U14" s="94">
        <f t="shared" si="7"/>
        <v>1650000</v>
      </c>
      <c r="V14" s="88">
        <f t="shared" si="8"/>
        <v>1650000</v>
      </c>
      <c r="W14" s="88"/>
      <c r="X14" s="88"/>
      <c r="Y14" s="84"/>
      <c r="Z14" s="84">
        <v>745000</v>
      </c>
      <c r="AA14" s="206"/>
    </row>
    <row r="15" spans="1:32" s="92" customFormat="1" ht="27.6" x14ac:dyDescent="0.25">
      <c r="A15" s="84">
        <f t="shared" si="9"/>
        <v>9</v>
      </c>
      <c r="B15" s="93">
        <v>626</v>
      </c>
      <c r="C15" s="93" t="s">
        <v>500</v>
      </c>
      <c r="D15" s="94">
        <v>20025000</v>
      </c>
      <c r="E15" s="94">
        <v>20025000</v>
      </c>
      <c r="F15" s="94">
        <f t="shared" si="0"/>
        <v>0</v>
      </c>
      <c r="G15" s="94">
        <v>14325000</v>
      </c>
      <c r="H15" s="94">
        <v>13508398.77</v>
      </c>
      <c r="I15" s="94">
        <v>148625</v>
      </c>
      <c r="J15" s="94">
        <v>225737.12</v>
      </c>
      <c r="K15" s="94">
        <f t="shared" si="1"/>
        <v>374362.12</v>
      </c>
      <c r="L15" s="94">
        <f t="shared" si="2"/>
        <v>13882760.889999999</v>
      </c>
      <c r="M15" s="94">
        <f t="shared" si="10"/>
        <v>642239.11000000127</v>
      </c>
      <c r="N15" s="94"/>
      <c r="O15" s="94">
        <f t="shared" si="3"/>
        <v>5500000</v>
      </c>
      <c r="P15" s="94">
        <f t="shared" si="4"/>
        <v>442239.11000000127</v>
      </c>
      <c r="Q15" s="94">
        <v>200000</v>
      </c>
      <c r="R15" s="94"/>
      <c r="S15" s="94">
        <f t="shared" si="5"/>
        <v>200000</v>
      </c>
      <c r="T15" s="94">
        <f t="shared" si="6"/>
        <v>0</v>
      </c>
      <c r="U15" s="94">
        <f t="shared" si="7"/>
        <v>0</v>
      </c>
      <c r="V15" s="94">
        <f t="shared" si="8"/>
        <v>0</v>
      </c>
      <c r="W15" s="94"/>
      <c r="X15" s="94"/>
      <c r="Y15" s="93"/>
      <c r="Z15" s="93">
        <v>732000</v>
      </c>
      <c r="AA15" s="95"/>
      <c r="AB15" s="95"/>
      <c r="AC15" s="95"/>
      <c r="AD15" s="95"/>
      <c r="AE15" s="95"/>
      <c r="AF15" s="95"/>
    </row>
    <row r="16" spans="1:32" s="87" customFormat="1" x14ac:dyDescent="0.25">
      <c r="A16" s="84">
        <f t="shared" si="9"/>
        <v>10</v>
      </c>
      <c r="B16" s="93">
        <v>631</v>
      </c>
      <c r="C16" s="93" t="s">
        <v>98</v>
      </c>
      <c r="D16" s="94">
        <v>7505000</v>
      </c>
      <c r="E16" s="94">
        <v>7445000</v>
      </c>
      <c r="F16" s="94">
        <f t="shared" si="0"/>
        <v>60000</v>
      </c>
      <c r="G16" s="94">
        <v>7105000</v>
      </c>
      <c r="H16" s="94">
        <v>7030689.3200000003</v>
      </c>
      <c r="I16" s="94">
        <v>27554.53</v>
      </c>
      <c r="J16" s="94"/>
      <c r="K16" s="94">
        <f t="shared" si="1"/>
        <v>27554.53</v>
      </c>
      <c r="L16" s="94">
        <f t="shared" si="2"/>
        <v>7058243.8500000006</v>
      </c>
      <c r="M16" s="94">
        <f t="shared" si="10"/>
        <v>46756.149999999441</v>
      </c>
      <c r="N16" s="94">
        <v>400000</v>
      </c>
      <c r="O16" s="94">
        <f t="shared" si="3"/>
        <v>0</v>
      </c>
      <c r="P16" s="94">
        <f t="shared" si="4"/>
        <v>46756.149999999441</v>
      </c>
      <c r="Q16" s="94"/>
      <c r="R16" s="94"/>
      <c r="S16" s="94">
        <f t="shared" si="5"/>
        <v>0</v>
      </c>
      <c r="T16" s="94">
        <f t="shared" si="6"/>
        <v>0</v>
      </c>
      <c r="U16" s="94">
        <f t="shared" si="7"/>
        <v>400000</v>
      </c>
      <c r="V16" s="94">
        <f t="shared" si="8"/>
        <v>400000</v>
      </c>
      <c r="W16" s="94"/>
      <c r="X16" s="94"/>
      <c r="Y16" s="93"/>
      <c r="Z16" s="93">
        <v>742000</v>
      </c>
      <c r="AA16" s="95"/>
      <c r="AB16" s="95"/>
      <c r="AC16" s="95"/>
      <c r="AD16" s="95"/>
      <c r="AE16" s="95"/>
      <c r="AF16" s="95"/>
    </row>
    <row r="17" spans="1:32" s="87" customFormat="1" x14ac:dyDescent="0.25">
      <c r="A17" s="84">
        <f t="shared" si="9"/>
        <v>11</v>
      </c>
      <c r="B17" s="93">
        <v>638</v>
      </c>
      <c r="C17" s="93" t="s">
        <v>74</v>
      </c>
      <c r="D17" s="94">
        <v>7000000</v>
      </c>
      <c r="E17" s="94">
        <v>7000000</v>
      </c>
      <c r="F17" s="94">
        <f t="shared" si="0"/>
        <v>0</v>
      </c>
      <c r="G17" s="94">
        <v>4600000</v>
      </c>
      <c r="H17" s="94">
        <v>3454838.96</v>
      </c>
      <c r="I17" s="94">
        <v>56151.29</v>
      </c>
      <c r="J17" s="94">
        <v>76658.78</v>
      </c>
      <c r="K17" s="94">
        <f t="shared" si="1"/>
        <v>132810.07</v>
      </c>
      <c r="L17" s="94">
        <f t="shared" si="2"/>
        <v>3587649.03</v>
      </c>
      <c r="M17" s="94">
        <f t="shared" si="10"/>
        <v>1012350.9700000002</v>
      </c>
      <c r="N17" s="94"/>
      <c r="O17" s="94">
        <f t="shared" si="3"/>
        <v>2400000</v>
      </c>
      <c r="P17" s="94">
        <f t="shared" si="4"/>
        <v>1012350.9700000002</v>
      </c>
      <c r="Q17" s="94"/>
      <c r="R17" s="94"/>
      <c r="S17" s="94">
        <f t="shared" si="5"/>
        <v>0</v>
      </c>
      <c r="T17" s="94">
        <f t="shared" si="6"/>
        <v>0</v>
      </c>
      <c r="U17" s="94">
        <f t="shared" si="7"/>
        <v>0</v>
      </c>
      <c r="V17" s="88">
        <f t="shared" si="8"/>
        <v>0</v>
      </c>
      <c r="W17" s="88"/>
      <c r="X17" s="88"/>
      <c r="Y17" s="84"/>
      <c r="Z17" s="93">
        <v>742000</v>
      </c>
      <c r="AA17" s="95"/>
      <c r="AB17" s="95"/>
      <c r="AC17" s="95"/>
      <c r="AD17" s="95"/>
      <c r="AE17" s="95"/>
      <c r="AF17" s="95"/>
    </row>
    <row r="18" spans="1:32" s="87" customFormat="1" x14ac:dyDescent="0.25">
      <c r="A18" s="84">
        <f t="shared" si="9"/>
        <v>12</v>
      </c>
      <c r="B18" s="84">
        <v>658</v>
      </c>
      <c r="C18" s="84" t="s">
        <v>50</v>
      </c>
      <c r="D18" s="94">
        <v>1700000</v>
      </c>
      <c r="E18" s="88">
        <v>1700000</v>
      </c>
      <c r="F18" s="88">
        <f t="shared" si="0"/>
        <v>0</v>
      </c>
      <c r="G18" s="88">
        <v>1350000</v>
      </c>
      <c r="H18" s="88">
        <v>994575.31</v>
      </c>
      <c r="I18" s="88">
        <v>15858.03</v>
      </c>
      <c r="J18" s="88"/>
      <c r="K18" s="88">
        <f t="shared" si="1"/>
        <v>15858.03</v>
      </c>
      <c r="L18" s="88">
        <f t="shared" si="2"/>
        <v>1010433.3400000001</v>
      </c>
      <c r="M18" s="94">
        <f t="shared" si="10"/>
        <v>339566.65999999992</v>
      </c>
      <c r="N18" s="94"/>
      <c r="O18" s="94">
        <f t="shared" si="3"/>
        <v>350000</v>
      </c>
      <c r="P18" s="94">
        <f t="shared" si="4"/>
        <v>339566.65999999992</v>
      </c>
      <c r="Q18" s="94"/>
      <c r="R18" s="94"/>
      <c r="S18" s="94">
        <f t="shared" si="5"/>
        <v>0</v>
      </c>
      <c r="T18" s="94">
        <f t="shared" si="6"/>
        <v>0</v>
      </c>
      <c r="U18" s="94">
        <f t="shared" si="7"/>
        <v>0</v>
      </c>
      <c r="V18" s="88">
        <f t="shared" si="8"/>
        <v>0</v>
      </c>
      <c r="W18" s="88"/>
      <c r="X18" s="88"/>
      <c r="Y18" s="84"/>
      <c r="Z18" s="84">
        <v>930000</v>
      </c>
    </row>
    <row r="19" spans="1:32" s="95" customFormat="1" x14ac:dyDescent="0.25">
      <c r="A19" s="84">
        <f t="shared" si="9"/>
        <v>13</v>
      </c>
      <c r="B19" s="84">
        <v>1018</v>
      </c>
      <c r="C19" s="84" t="s">
        <v>43</v>
      </c>
      <c r="D19" s="94">
        <v>31900000</v>
      </c>
      <c r="E19" s="88">
        <v>31900000</v>
      </c>
      <c r="F19" s="88">
        <f t="shared" si="0"/>
        <v>0</v>
      </c>
      <c r="G19" s="88">
        <v>6100000</v>
      </c>
      <c r="H19" s="88">
        <v>3004971.79</v>
      </c>
      <c r="I19" s="88">
        <v>4590.32</v>
      </c>
      <c r="J19" s="88">
        <v>84192.99</v>
      </c>
      <c r="K19" s="88">
        <f t="shared" si="1"/>
        <v>88783.31</v>
      </c>
      <c r="L19" s="88">
        <f t="shared" si="2"/>
        <v>3093755.1</v>
      </c>
      <c r="M19" s="94">
        <f t="shared" si="10"/>
        <v>3006244.9</v>
      </c>
      <c r="N19" s="94"/>
      <c r="O19" s="94">
        <f t="shared" si="3"/>
        <v>25800000</v>
      </c>
      <c r="P19" s="94">
        <f t="shared" si="4"/>
        <v>3006244.9</v>
      </c>
      <c r="Q19" s="94"/>
      <c r="R19" s="94"/>
      <c r="S19" s="94">
        <f t="shared" si="5"/>
        <v>0</v>
      </c>
      <c r="T19" s="94">
        <f t="shared" si="6"/>
        <v>0</v>
      </c>
      <c r="U19" s="94">
        <f t="shared" si="7"/>
        <v>0</v>
      </c>
      <c r="V19" s="88">
        <f t="shared" si="8"/>
        <v>0</v>
      </c>
      <c r="W19" s="88"/>
      <c r="X19" s="88"/>
      <c r="Y19" s="84"/>
      <c r="Z19" s="84">
        <v>742000</v>
      </c>
      <c r="AA19" s="87"/>
      <c r="AB19" s="87"/>
      <c r="AC19" s="87"/>
      <c r="AD19" s="87"/>
      <c r="AE19" s="87"/>
      <c r="AF19" s="87"/>
    </row>
    <row r="20" spans="1:32" s="92" customFormat="1" x14ac:dyDescent="0.25">
      <c r="A20" s="84">
        <f t="shared" si="9"/>
        <v>14</v>
      </c>
      <c r="B20" s="84">
        <v>1060</v>
      </c>
      <c r="C20" s="84" t="s">
        <v>99</v>
      </c>
      <c r="D20" s="94">
        <v>2085000</v>
      </c>
      <c r="E20" s="88">
        <v>2085000</v>
      </c>
      <c r="F20" s="88">
        <f t="shared" si="0"/>
        <v>0</v>
      </c>
      <c r="G20" s="88">
        <v>850000</v>
      </c>
      <c r="H20" s="88">
        <v>718557.75</v>
      </c>
      <c r="I20" s="88">
        <v>40431</v>
      </c>
      <c r="J20" s="88"/>
      <c r="K20" s="88">
        <f t="shared" si="1"/>
        <v>40431</v>
      </c>
      <c r="L20" s="88">
        <f t="shared" si="2"/>
        <v>758988.75</v>
      </c>
      <c r="M20" s="94">
        <f t="shared" si="10"/>
        <v>91011.25</v>
      </c>
      <c r="N20" s="94"/>
      <c r="O20" s="94">
        <f t="shared" si="3"/>
        <v>1235000</v>
      </c>
      <c r="P20" s="94">
        <f t="shared" si="4"/>
        <v>91011.25</v>
      </c>
      <c r="Q20" s="94"/>
      <c r="R20" s="94"/>
      <c r="S20" s="94">
        <f t="shared" si="5"/>
        <v>0</v>
      </c>
      <c r="T20" s="94">
        <f t="shared" si="6"/>
        <v>0</v>
      </c>
      <c r="U20" s="94">
        <f t="shared" si="7"/>
        <v>0</v>
      </c>
      <c r="V20" s="88">
        <f t="shared" si="8"/>
        <v>0</v>
      </c>
      <c r="W20" s="88"/>
      <c r="X20" s="88"/>
      <c r="Y20" s="84"/>
      <c r="Z20" s="84">
        <v>760000</v>
      </c>
      <c r="AA20" s="87"/>
      <c r="AB20" s="87"/>
      <c r="AC20" s="87"/>
      <c r="AD20" s="87"/>
      <c r="AE20" s="87"/>
      <c r="AF20" s="87"/>
    </row>
    <row r="21" spans="1:32" s="87" customFormat="1" x14ac:dyDescent="0.25">
      <c r="A21" s="84">
        <f t="shared" si="9"/>
        <v>15</v>
      </c>
      <c r="B21" s="84">
        <v>1097</v>
      </c>
      <c r="C21" s="84" t="s">
        <v>75</v>
      </c>
      <c r="D21" s="94">
        <v>1630000</v>
      </c>
      <c r="E21" s="88">
        <v>1630000</v>
      </c>
      <c r="F21" s="88">
        <f t="shared" si="0"/>
        <v>0</v>
      </c>
      <c r="G21" s="88">
        <v>1630000</v>
      </c>
      <c r="H21" s="88">
        <v>1173307.6000000001</v>
      </c>
      <c r="I21" s="88">
        <v>50981.58</v>
      </c>
      <c r="J21" s="88"/>
      <c r="K21" s="88">
        <f t="shared" si="1"/>
        <v>50981.58</v>
      </c>
      <c r="L21" s="88">
        <f t="shared" si="2"/>
        <v>1224289.1800000002</v>
      </c>
      <c r="M21" s="94">
        <f t="shared" si="10"/>
        <v>405710.81999999983</v>
      </c>
      <c r="N21" s="94"/>
      <c r="O21" s="94">
        <f t="shared" si="3"/>
        <v>0</v>
      </c>
      <c r="P21" s="94">
        <f t="shared" si="4"/>
        <v>405710.81999999983</v>
      </c>
      <c r="Q21" s="94"/>
      <c r="R21" s="94"/>
      <c r="S21" s="94">
        <f t="shared" si="5"/>
        <v>0</v>
      </c>
      <c r="T21" s="94">
        <f t="shared" si="6"/>
        <v>0</v>
      </c>
      <c r="U21" s="94">
        <f t="shared" si="7"/>
        <v>0</v>
      </c>
      <c r="V21" s="88">
        <f t="shared" si="8"/>
        <v>0</v>
      </c>
      <c r="W21" s="88"/>
      <c r="X21" s="88"/>
      <c r="Y21" s="84"/>
      <c r="Z21" s="84">
        <v>742000</v>
      </c>
      <c r="AB21" s="92"/>
      <c r="AC21" s="92"/>
      <c r="AD21" s="92"/>
      <c r="AE21" s="92"/>
      <c r="AF21" s="92"/>
    </row>
    <row r="22" spans="1:32" s="87" customFormat="1" x14ac:dyDescent="0.25">
      <c r="A22" s="84">
        <f t="shared" si="9"/>
        <v>16</v>
      </c>
      <c r="B22" s="84">
        <v>1129</v>
      </c>
      <c r="C22" s="84" t="s">
        <v>51</v>
      </c>
      <c r="D22" s="94">
        <v>5500000</v>
      </c>
      <c r="E22" s="88">
        <v>5500000</v>
      </c>
      <c r="F22" s="88">
        <f t="shared" si="0"/>
        <v>0</v>
      </c>
      <c r="G22" s="88">
        <v>5491771</v>
      </c>
      <c r="H22" s="88">
        <v>4552723.2300000004</v>
      </c>
      <c r="I22" s="88">
        <v>597920</v>
      </c>
      <c r="J22" s="88"/>
      <c r="K22" s="88">
        <f t="shared" si="1"/>
        <v>597920</v>
      </c>
      <c r="L22" s="88">
        <f t="shared" si="2"/>
        <v>5150643.2300000004</v>
      </c>
      <c r="M22" s="94">
        <f t="shared" si="10"/>
        <v>341127.76999999955</v>
      </c>
      <c r="N22" s="94"/>
      <c r="O22" s="94">
        <f t="shared" si="3"/>
        <v>8229</v>
      </c>
      <c r="P22" s="94">
        <f t="shared" si="4"/>
        <v>341127.76999999955</v>
      </c>
      <c r="Q22" s="94"/>
      <c r="R22" s="94"/>
      <c r="S22" s="94">
        <f t="shared" si="5"/>
        <v>0</v>
      </c>
      <c r="T22" s="94">
        <f t="shared" si="6"/>
        <v>0</v>
      </c>
      <c r="U22" s="94">
        <f t="shared" si="7"/>
        <v>0</v>
      </c>
      <c r="V22" s="88">
        <f t="shared" si="8"/>
        <v>0</v>
      </c>
      <c r="W22" s="88"/>
      <c r="X22" s="88"/>
      <c r="Y22" s="84"/>
      <c r="Z22" s="84">
        <v>742000</v>
      </c>
    </row>
    <row r="23" spans="1:32" s="92" customFormat="1" x14ac:dyDescent="0.25">
      <c r="A23" s="84">
        <f t="shared" si="9"/>
        <v>17</v>
      </c>
      <c r="B23" s="84">
        <v>1130</v>
      </c>
      <c r="C23" s="84" t="s">
        <v>52</v>
      </c>
      <c r="D23" s="94">
        <v>13881894</v>
      </c>
      <c r="E23" s="88">
        <v>11881894</v>
      </c>
      <c r="F23" s="88">
        <f t="shared" si="0"/>
        <v>2000000</v>
      </c>
      <c r="G23" s="88">
        <v>10881894</v>
      </c>
      <c r="H23" s="88">
        <v>8712093</v>
      </c>
      <c r="I23" s="88">
        <v>1690096</v>
      </c>
      <c r="J23" s="88">
        <v>41184.800000000003</v>
      </c>
      <c r="K23" s="88">
        <f t="shared" si="1"/>
        <v>1731280.8</v>
      </c>
      <c r="L23" s="88">
        <f t="shared" si="2"/>
        <v>10443373.800000001</v>
      </c>
      <c r="M23" s="94">
        <f t="shared" si="10"/>
        <v>438520.19999999925</v>
      </c>
      <c r="N23" s="94">
        <f>3000000-1000000</f>
        <v>2000000</v>
      </c>
      <c r="O23" s="94">
        <f t="shared" si="3"/>
        <v>1000000</v>
      </c>
      <c r="P23" s="94">
        <f t="shared" si="4"/>
        <v>438520.19999999925</v>
      </c>
      <c r="Q23" s="94"/>
      <c r="R23" s="94"/>
      <c r="S23" s="94">
        <f t="shared" si="5"/>
        <v>0</v>
      </c>
      <c r="T23" s="94">
        <f t="shared" si="6"/>
        <v>0</v>
      </c>
      <c r="U23" s="94">
        <f t="shared" si="7"/>
        <v>2000000</v>
      </c>
      <c r="V23" s="88">
        <f t="shared" si="8"/>
        <v>2000000</v>
      </c>
      <c r="W23" s="88"/>
      <c r="X23" s="88"/>
      <c r="Y23" s="84"/>
      <c r="Z23" s="84">
        <v>742000</v>
      </c>
      <c r="AA23" s="206"/>
      <c r="AB23" s="87"/>
      <c r="AC23" s="87"/>
      <c r="AD23" s="87"/>
      <c r="AE23" s="87"/>
      <c r="AF23" s="87"/>
    </row>
    <row r="24" spans="1:32" s="92" customFormat="1" x14ac:dyDescent="0.25">
      <c r="A24" s="84">
        <f t="shared" si="9"/>
        <v>18</v>
      </c>
      <c r="B24" s="84">
        <v>1220</v>
      </c>
      <c r="C24" s="84" t="s">
        <v>53</v>
      </c>
      <c r="D24" s="94">
        <v>5600000</v>
      </c>
      <c r="E24" s="88">
        <v>4900000</v>
      </c>
      <c r="F24" s="88">
        <f t="shared" si="0"/>
        <v>700000</v>
      </c>
      <c r="G24" s="88">
        <v>5100000</v>
      </c>
      <c r="H24" s="88">
        <v>3753527.33</v>
      </c>
      <c r="I24" s="88">
        <v>909328.58</v>
      </c>
      <c r="J24" s="88">
        <v>55983.4</v>
      </c>
      <c r="K24" s="88">
        <f t="shared" si="1"/>
        <v>965311.98</v>
      </c>
      <c r="L24" s="88">
        <f t="shared" si="2"/>
        <v>4718839.3100000005</v>
      </c>
      <c r="M24" s="94">
        <f t="shared" si="10"/>
        <v>381160.68999999948</v>
      </c>
      <c r="N24" s="94">
        <f>300000+200000</f>
        <v>500000</v>
      </c>
      <c r="O24" s="94">
        <f t="shared" si="3"/>
        <v>0</v>
      </c>
      <c r="P24" s="94">
        <f t="shared" si="4"/>
        <v>381160.68999999948</v>
      </c>
      <c r="Q24" s="94"/>
      <c r="R24" s="94"/>
      <c r="S24" s="94">
        <f t="shared" si="5"/>
        <v>0</v>
      </c>
      <c r="T24" s="94">
        <f t="shared" si="6"/>
        <v>0</v>
      </c>
      <c r="U24" s="94">
        <f t="shared" si="7"/>
        <v>500000</v>
      </c>
      <c r="V24" s="88">
        <f t="shared" si="8"/>
        <v>500000</v>
      </c>
      <c r="W24" s="88"/>
      <c r="X24" s="88"/>
      <c r="Y24" s="88"/>
      <c r="Z24" s="84">
        <v>732000</v>
      </c>
      <c r="AA24" s="87"/>
      <c r="AB24" s="87"/>
      <c r="AC24" s="87"/>
      <c r="AD24" s="87"/>
      <c r="AE24" s="87"/>
      <c r="AF24" s="87"/>
    </row>
    <row r="25" spans="1:32" s="87" customFormat="1" x14ac:dyDescent="0.25">
      <c r="A25" s="84">
        <f t="shared" si="9"/>
        <v>19</v>
      </c>
      <c r="B25" s="84">
        <v>1232</v>
      </c>
      <c r="C25" s="84" t="s">
        <v>100</v>
      </c>
      <c r="D25" s="94">
        <f>5750000-1320000</f>
        <v>4430000</v>
      </c>
      <c r="E25" s="88">
        <v>5750000</v>
      </c>
      <c r="F25" s="88">
        <f t="shared" si="0"/>
        <v>-1320000</v>
      </c>
      <c r="G25" s="88">
        <v>4900000</v>
      </c>
      <c r="H25" s="88">
        <v>4418129.04</v>
      </c>
      <c r="I25" s="88">
        <v>4128.72</v>
      </c>
      <c r="J25" s="88"/>
      <c r="K25" s="88">
        <f t="shared" si="1"/>
        <v>4128.72</v>
      </c>
      <c r="L25" s="88">
        <f t="shared" si="2"/>
        <v>4422257.76</v>
      </c>
      <c r="M25" s="94">
        <f>P25+S25-470000</f>
        <v>7742.2400000002235</v>
      </c>
      <c r="N25" s="94"/>
      <c r="O25" s="94">
        <f t="shared" si="3"/>
        <v>0</v>
      </c>
      <c r="P25" s="94">
        <f t="shared" si="4"/>
        <v>477742.24000000022</v>
      </c>
      <c r="Q25" s="94"/>
      <c r="R25" s="94"/>
      <c r="S25" s="94">
        <f t="shared" si="5"/>
        <v>0</v>
      </c>
      <c r="T25" s="94">
        <f t="shared" si="6"/>
        <v>470000</v>
      </c>
      <c r="U25" s="94">
        <f t="shared" si="7"/>
        <v>-470000</v>
      </c>
      <c r="V25" s="88">
        <f t="shared" si="8"/>
        <v>-470000</v>
      </c>
      <c r="W25" s="88"/>
      <c r="X25" s="88"/>
      <c r="Y25" s="84"/>
      <c r="Z25" s="84">
        <v>815000</v>
      </c>
    </row>
    <row r="26" spans="1:32" s="92" customFormat="1" x14ac:dyDescent="0.25">
      <c r="A26" s="84">
        <f t="shared" si="9"/>
        <v>20</v>
      </c>
      <c r="B26" s="84">
        <v>1268</v>
      </c>
      <c r="C26" s="84" t="s">
        <v>76</v>
      </c>
      <c r="D26" s="94">
        <f>11200000-400000</f>
        <v>10800000</v>
      </c>
      <c r="E26" s="88">
        <v>11200000</v>
      </c>
      <c r="F26" s="88">
        <f t="shared" si="0"/>
        <v>-400000</v>
      </c>
      <c r="G26" s="88">
        <v>11200000</v>
      </c>
      <c r="H26" s="88">
        <v>10764946</v>
      </c>
      <c r="I26" s="88">
        <v>19091</v>
      </c>
      <c r="J26" s="88"/>
      <c r="K26" s="88">
        <f t="shared" si="1"/>
        <v>19091</v>
      </c>
      <c r="L26" s="88">
        <f t="shared" si="2"/>
        <v>10784037</v>
      </c>
      <c r="M26" s="94">
        <f>P26+S26-400000</f>
        <v>15963</v>
      </c>
      <c r="N26" s="94"/>
      <c r="O26" s="94">
        <f t="shared" si="3"/>
        <v>0</v>
      </c>
      <c r="P26" s="94">
        <f t="shared" si="4"/>
        <v>415963</v>
      </c>
      <c r="Q26" s="94"/>
      <c r="R26" s="94"/>
      <c r="S26" s="94">
        <f t="shared" si="5"/>
        <v>0</v>
      </c>
      <c r="T26" s="94">
        <f t="shared" si="6"/>
        <v>400000</v>
      </c>
      <c r="U26" s="94">
        <f t="shared" si="7"/>
        <v>-400000</v>
      </c>
      <c r="V26" s="88">
        <f t="shared" si="8"/>
        <v>-400000</v>
      </c>
      <c r="W26" s="88"/>
      <c r="X26" s="88"/>
      <c r="Y26" s="84"/>
      <c r="Z26" s="84">
        <v>813200</v>
      </c>
      <c r="AA26" s="87"/>
      <c r="AB26" s="87"/>
      <c r="AC26" s="87"/>
      <c r="AD26" s="87"/>
      <c r="AE26" s="87"/>
      <c r="AF26" s="87"/>
    </row>
    <row r="27" spans="1:32" s="87" customFormat="1" x14ac:dyDescent="0.25">
      <c r="A27" s="84">
        <f t="shared" si="9"/>
        <v>21</v>
      </c>
      <c r="B27" s="84">
        <v>1314</v>
      </c>
      <c r="C27" s="84" t="s">
        <v>77</v>
      </c>
      <c r="D27" s="94">
        <v>3200000</v>
      </c>
      <c r="E27" s="88">
        <v>3200000</v>
      </c>
      <c r="F27" s="88">
        <f t="shared" si="0"/>
        <v>0</v>
      </c>
      <c r="G27" s="88">
        <v>400000</v>
      </c>
      <c r="H27" s="88">
        <v>359314.49</v>
      </c>
      <c r="I27" s="88">
        <v>10008.06</v>
      </c>
      <c r="J27" s="88">
        <v>330</v>
      </c>
      <c r="K27" s="88">
        <f t="shared" si="1"/>
        <v>10338.06</v>
      </c>
      <c r="L27" s="88">
        <f t="shared" si="2"/>
        <v>369652.55</v>
      </c>
      <c r="M27" s="94">
        <f t="shared" si="10"/>
        <v>30347.450000000012</v>
      </c>
      <c r="N27" s="94">
        <v>150000</v>
      </c>
      <c r="O27" s="94">
        <f t="shared" si="3"/>
        <v>2650000</v>
      </c>
      <c r="P27" s="94">
        <f t="shared" si="4"/>
        <v>30347.450000000012</v>
      </c>
      <c r="Q27" s="94"/>
      <c r="R27" s="94"/>
      <c r="S27" s="94">
        <f t="shared" si="5"/>
        <v>0</v>
      </c>
      <c r="T27" s="94">
        <f t="shared" si="6"/>
        <v>0</v>
      </c>
      <c r="U27" s="94">
        <f t="shared" si="7"/>
        <v>150000</v>
      </c>
      <c r="V27" s="88">
        <f t="shared" si="8"/>
        <v>150000</v>
      </c>
      <c r="W27" s="88"/>
      <c r="X27" s="88"/>
      <c r="Y27" s="84"/>
      <c r="Z27" s="84">
        <v>742000</v>
      </c>
    </row>
    <row r="28" spans="1:32" s="87" customFormat="1" x14ac:dyDescent="0.25">
      <c r="A28" s="84">
        <f t="shared" si="9"/>
        <v>22</v>
      </c>
      <c r="B28" s="84">
        <v>1320</v>
      </c>
      <c r="C28" s="84" t="s">
        <v>78</v>
      </c>
      <c r="D28" s="94">
        <f>23500000</f>
        <v>23500000</v>
      </c>
      <c r="E28" s="88">
        <v>23500000</v>
      </c>
      <c r="F28" s="88">
        <f t="shared" si="0"/>
        <v>0</v>
      </c>
      <c r="G28" s="88">
        <v>21700000</v>
      </c>
      <c r="H28" s="88">
        <v>20843952.5</v>
      </c>
      <c r="I28" s="88">
        <v>124911.05</v>
      </c>
      <c r="J28" s="88">
        <v>718558.2</v>
      </c>
      <c r="K28" s="88">
        <f t="shared" si="1"/>
        <v>843469.25</v>
      </c>
      <c r="L28" s="88">
        <f t="shared" si="2"/>
        <v>21687421.75</v>
      </c>
      <c r="M28" s="94">
        <f t="shared" si="10"/>
        <v>12578.25</v>
      </c>
      <c r="N28" s="94"/>
      <c r="O28" s="94">
        <f t="shared" si="3"/>
        <v>1800000</v>
      </c>
      <c r="P28" s="94">
        <f t="shared" si="4"/>
        <v>12578.25</v>
      </c>
      <c r="Q28" s="94"/>
      <c r="R28" s="94"/>
      <c r="S28" s="94">
        <f t="shared" si="5"/>
        <v>0</v>
      </c>
      <c r="T28" s="94">
        <f t="shared" si="6"/>
        <v>0</v>
      </c>
      <c r="U28" s="94">
        <f t="shared" si="7"/>
        <v>0</v>
      </c>
      <c r="V28" s="88">
        <f t="shared" si="8"/>
        <v>0</v>
      </c>
      <c r="W28" s="88"/>
      <c r="X28" s="88"/>
      <c r="Y28" s="84"/>
      <c r="Z28" s="84">
        <v>746000</v>
      </c>
      <c r="AB28" s="92"/>
      <c r="AC28" s="92"/>
      <c r="AD28" s="92"/>
      <c r="AE28" s="92"/>
      <c r="AF28" s="92"/>
    </row>
    <row r="29" spans="1:32" s="87" customFormat="1" x14ac:dyDescent="0.25">
      <c r="A29" s="84">
        <f t="shared" si="9"/>
        <v>23</v>
      </c>
      <c r="B29" s="84">
        <v>1321</v>
      </c>
      <c r="C29" s="93" t="s">
        <v>101</v>
      </c>
      <c r="D29" s="94">
        <f>5150000</f>
        <v>5150000</v>
      </c>
      <c r="E29" s="88">
        <v>5150000</v>
      </c>
      <c r="F29" s="88">
        <f t="shared" si="0"/>
        <v>0</v>
      </c>
      <c r="G29" s="88">
        <v>700000</v>
      </c>
      <c r="H29" s="88">
        <v>691661.02</v>
      </c>
      <c r="I29" s="88">
        <v>7556.01</v>
      </c>
      <c r="J29" s="88"/>
      <c r="K29" s="88">
        <f t="shared" si="1"/>
        <v>7556.01</v>
      </c>
      <c r="L29" s="88">
        <f t="shared" si="2"/>
        <v>699217.03</v>
      </c>
      <c r="M29" s="94">
        <f t="shared" si="10"/>
        <v>782.96999999997206</v>
      </c>
      <c r="N29" s="94"/>
      <c r="O29" s="94">
        <f t="shared" si="3"/>
        <v>4450000</v>
      </c>
      <c r="P29" s="94">
        <f t="shared" si="4"/>
        <v>782.96999999997206</v>
      </c>
      <c r="Q29" s="94"/>
      <c r="R29" s="94"/>
      <c r="S29" s="94">
        <f t="shared" si="5"/>
        <v>0</v>
      </c>
      <c r="T29" s="94">
        <f t="shared" si="6"/>
        <v>0</v>
      </c>
      <c r="U29" s="94">
        <f t="shared" si="7"/>
        <v>0</v>
      </c>
      <c r="V29" s="88">
        <f t="shared" si="8"/>
        <v>0</v>
      </c>
      <c r="W29" s="88"/>
      <c r="X29" s="88"/>
      <c r="Y29" s="84"/>
      <c r="Z29" s="84">
        <v>742000</v>
      </c>
      <c r="AB29" s="92"/>
      <c r="AC29" s="92"/>
      <c r="AD29" s="92"/>
      <c r="AE29" s="92"/>
      <c r="AF29" s="92"/>
    </row>
    <row r="30" spans="1:32" s="92" customFormat="1" x14ac:dyDescent="0.25">
      <c r="A30" s="84">
        <f t="shared" si="9"/>
        <v>24</v>
      </c>
      <c r="B30" s="84">
        <v>1322</v>
      </c>
      <c r="C30" s="84" t="s">
        <v>55</v>
      </c>
      <c r="D30" s="94">
        <v>18500000</v>
      </c>
      <c r="E30" s="88">
        <v>18500000</v>
      </c>
      <c r="F30" s="88">
        <f t="shared" si="0"/>
        <v>0</v>
      </c>
      <c r="G30" s="88">
        <v>11400000</v>
      </c>
      <c r="H30" s="88">
        <v>9585773.5899999999</v>
      </c>
      <c r="I30" s="88">
        <v>47815.65</v>
      </c>
      <c r="J30" s="88">
        <v>1366771.35</v>
      </c>
      <c r="K30" s="88">
        <f t="shared" si="1"/>
        <v>1414587</v>
      </c>
      <c r="L30" s="88">
        <f t="shared" si="2"/>
        <v>11000360.59</v>
      </c>
      <c r="M30" s="94">
        <f t="shared" si="10"/>
        <v>399639.41000000015</v>
      </c>
      <c r="N30" s="94">
        <f>4650000-4650000</f>
        <v>0</v>
      </c>
      <c r="O30" s="94">
        <f t="shared" si="3"/>
        <v>7100000</v>
      </c>
      <c r="P30" s="94">
        <f t="shared" si="4"/>
        <v>399639.41000000015</v>
      </c>
      <c r="Q30" s="94"/>
      <c r="R30" s="94"/>
      <c r="S30" s="94">
        <f t="shared" si="5"/>
        <v>0</v>
      </c>
      <c r="T30" s="94">
        <f t="shared" si="6"/>
        <v>0</v>
      </c>
      <c r="U30" s="94">
        <f t="shared" si="7"/>
        <v>0</v>
      </c>
      <c r="V30" s="88">
        <f t="shared" si="8"/>
        <v>0</v>
      </c>
      <c r="W30" s="88"/>
      <c r="X30" s="88"/>
      <c r="Y30" s="88"/>
      <c r="Z30" s="84">
        <v>742000</v>
      </c>
      <c r="AA30" s="87"/>
      <c r="AB30" s="87"/>
      <c r="AC30" s="87"/>
      <c r="AD30" s="87"/>
      <c r="AE30" s="87"/>
      <c r="AF30" s="87"/>
    </row>
    <row r="31" spans="1:32" s="95" customFormat="1" x14ac:dyDescent="0.25">
      <c r="A31" s="84">
        <f t="shared" si="9"/>
        <v>25</v>
      </c>
      <c r="B31" s="84">
        <v>1324</v>
      </c>
      <c r="C31" s="84" t="s">
        <v>79</v>
      </c>
      <c r="D31" s="94">
        <f>250000</f>
        <v>250000</v>
      </c>
      <c r="E31" s="88">
        <v>250000</v>
      </c>
      <c r="F31" s="88">
        <f t="shared" si="0"/>
        <v>0</v>
      </c>
      <c r="G31" s="88">
        <v>180000</v>
      </c>
      <c r="H31" s="88">
        <v>120629.48</v>
      </c>
      <c r="I31" s="88">
        <v>56544</v>
      </c>
      <c r="J31" s="88"/>
      <c r="K31" s="88">
        <f t="shared" si="1"/>
        <v>56544</v>
      </c>
      <c r="L31" s="88">
        <f t="shared" si="2"/>
        <v>177173.47999999998</v>
      </c>
      <c r="M31" s="94">
        <f t="shared" si="10"/>
        <v>2826.5200000000186</v>
      </c>
      <c r="N31" s="94"/>
      <c r="O31" s="94">
        <f t="shared" si="3"/>
        <v>70000</v>
      </c>
      <c r="P31" s="94">
        <f t="shared" si="4"/>
        <v>2826.5200000000186</v>
      </c>
      <c r="Q31" s="94"/>
      <c r="R31" s="94"/>
      <c r="S31" s="94">
        <f t="shared" si="5"/>
        <v>0</v>
      </c>
      <c r="T31" s="94">
        <f t="shared" si="6"/>
        <v>0</v>
      </c>
      <c r="U31" s="94">
        <f t="shared" si="7"/>
        <v>0</v>
      </c>
      <c r="V31" s="88">
        <f t="shared" si="8"/>
        <v>0</v>
      </c>
      <c r="W31" s="88"/>
      <c r="X31" s="88"/>
      <c r="Y31" s="84"/>
      <c r="Z31" s="84">
        <v>742000</v>
      </c>
      <c r="AA31" s="87"/>
      <c r="AB31" s="92"/>
      <c r="AC31" s="92"/>
      <c r="AD31" s="92"/>
      <c r="AE31" s="92"/>
      <c r="AF31" s="92"/>
    </row>
    <row r="32" spans="1:32" s="97" customFormat="1" ht="27.6" x14ac:dyDescent="0.25">
      <c r="A32" s="84">
        <f t="shared" si="9"/>
        <v>26</v>
      </c>
      <c r="B32" s="84">
        <v>1351</v>
      </c>
      <c r="C32" s="84" t="s">
        <v>56</v>
      </c>
      <c r="D32" s="94">
        <f>4900000+200000+300000</f>
        <v>5400000</v>
      </c>
      <c r="E32" s="88">
        <v>4900000</v>
      </c>
      <c r="F32" s="88">
        <f t="shared" si="0"/>
        <v>500000</v>
      </c>
      <c r="G32" s="88">
        <f>4600000+300000</f>
        <v>4900000</v>
      </c>
      <c r="H32" s="88">
        <v>4561345.82</v>
      </c>
      <c r="I32" s="88">
        <v>38220.61</v>
      </c>
      <c r="J32" s="88"/>
      <c r="K32" s="88">
        <f t="shared" si="1"/>
        <v>38220.61</v>
      </c>
      <c r="L32" s="88">
        <f t="shared" si="2"/>
        <v>4599566.4300000006</v>
      </c>
      <c r="M32" s="94">
        <f t="shared" si="10"/>
        <v>300433.56999999937</v>
      </c>
      <c r="N32" s="94">
        <v>500000</v>
      </c>
      <c r="O32" s="94">
        <f t="shared" si="3"/>
        <v>0</v>
      </c>
      <c r="P32" s="94">
        <f t="shared" si="4"/>
        <v>300433.56999999937</v>
      </c>
      <c r="Q32" s="94"/>
      <c r="R32" s="94"/>
      <c r="S32" s="94">
        <f t="shared" si="5"/>
        <v>0</v>
      </c>
      <c r="T32" s="94">
        <f t="shared" si="6"/>
        <v>0</v>
      </c>
      <c r="U32" s="94">
        <f t="shared" si="7"/>
        <v>500000</v>
      </c>
      <c r="V32" s="88">
        <f t="shared" si="8"/>
        <v>500000</v>
      </c>
      <c r="W32" s="88"/>
      <c r="X32" s="88"/>
      <c r="Y32" s="88"/>
      <c r="Z32" s="84">
        <v>760000</v>
      </c>
      <c r="AA32" s="87"/>
      <c r="AB32" s="87"/>
      <c r="AC32" s="87"/>
      <c r="AD32" s="87"/>
      <c r="AE32" s="87"/>
      <c r="AF32" s="87"/>
    </row>
    <row r="33" spans="1:32" s="95" customFormat="1" x14ac:dyDescent="0.25">
      <c r="A33" s="84">
        <f t="shared" si="9"/>
        <v>27</v>
      </c>
      <c r="B33" s="84">
        <v>1357</v>
      </c>
      <c r="C33" s="84" t="s">
        <v>80</v>
      </c>
      <c r="D33" s="94">
        <v>25000000</v>
      </c>
      <c r="E33" s="88">
        <v>25000000</v>
      </c>
      <c r="F33" s="88">
        <f t="shared" si="0"/>
        <v>0</v>
      </c>
      <c r="G33" s="88">
        <v>12720000</v>
      </c>
      <c r="H33" s="88">
        <v>12414133.140000001</v>
      </c>
      <c r="I33" s="88">
        <v>66302.81</v>
      </c>
      <c r="J33" s="88">
        <v>130814.97</v>
      </c>
      <c r="K33" s="88">
        <f t="shared" si="1"/>
        <v>197117.78</v>
      </c>
      <c r="L33" s="88">
        <f t="shared" si="2"/>
        <v>12611250.92</v>
      </c>
      <c r="M33" s="94">
        <f>P33+S33-108000</f>
        <v>749.08000000007451</v>
      </c>
      <c r="N33" s="94"/>
      <c r="O33" s="94">
        <f t="shared" si="3"/>
        <v>12388000</v>
      </c>
      <c r="P33" s="94">
        <f t="shared" si="4"/>
        <v>108749.08000000007</v>
      </c>
      <c r="Q33" s="94"/>
      <c r="R33" s="94"/>
      <c r="S33" s="94">
        <f t="shared" si="5"/>
        <v>0</v>
      </c>
      <c r="T33" s="94">
        <f t="shared" si="6"/>
        <v>108000</v>
      </c>
      <c r="U33" s="94">
        <f t="shared" si="7"/>
        <v>-108000</v>
      </c>
      <c r="V33" s="88">
        <f t="shared" si="8"/>
        <v>-108000</v>
      </c>
      <c r="W33" s="88"/>
      <c r="X33" s="88"/>
      <c r="Y33" s="84"/>
      <c r="Z33" s="84">
        <v>829000</v>
      </c>
      <c r="AA33" s="87"/>
      <c r="AB33" s="92"/>
      <c r="AC33" s="92"/>
      <c r="AD33" s="92"/>
      <c r="AE33" s="92"/>
      <c r="AF33" s="92"/>
    </row>
    <row r="34" spans="1:32" s="95" customFormat="1" x14ac:dyDescent="0.25">
      <c r="A34" s="84">
        <f t="shared" si="9"/>
        <v>28</v>
      </c>
      <c r="B34" s="93">
        <v>1363</v>
      </c>
      <c r="C34" s="93" t="s">
        <v>57</v>
      </c>
      <c r="D34" s="94">
        <v>14000000</v>
      </c>
      <c r="E34" s="94">
        <v>14000000</v>
      </c>
      <c r="F34" s="94">
        <f t="shared" si="0"/>
        <v>0</v>
      </c>
      <c r="G34" s="94">
        <f>1050000+5000000</f>
        <v>6050000</v>
      </c>
      <c r="H34" s="94">
        <v>432923.14</v>
      </c>
      <c r="I34" s="94">
        <v>755174</v>
      </c>
      <c r="J34" s="94"/>
      <c r="K34" s="94">
        <f t="shared" si="1"/>
        <v>755174</v>
      </c>
      <c r="L34" s="94">
        <f t="shared" si="2"/>
        <v>1188097.1400000001</v>
      </c>
      <c r="M34" s="94">
        <f>P34+S34</f>
        <v>4861902.8599999994</v>
      </c>
      <c r="N34" s="94">
        <f>3000000-500000+500000</f>
        <v>3000000</v>
      </c>
      <c r="O34" s="94">
        <f t="shared" si="3"/>
        <v>4950000</v>
      </c>
      <c r="P34" s="94">
        <f t="shared" si="4"/>
        <v>4861902.8599999994</v>
      </c>
      <c r="Q34" s="94"/>
      <c r="R34" s="94"/>
      <c r="S34" s="94">
        <f t="shared" si="5"/>
        <v>0</v>
      </c>
      <c r="T34" s="94">
        <f t="shared" si="6"/>
        <v>0</v>
      </c>
      <c r="U34" s="94">
        <f t="shared" si="7"/>
        <v>3000000</v>
      </c>
      <c r="V34" s="94">
        <f t="shared" si="8"/>
        <v>3000000</v>
      </c>
      <c r="W34" s="94"/>
      <c r="X34" s="94"/>
      <c r="Y34" s="94"/>
      <c r="Z34" s="93">
        <v>742000</v>
      </c>
      <c r="AB34" s="97"/>
      <c r="AC34" s="97"/>
      <c r="AD34" s="97"/>
      <c r="AE34" s="97"/>
      <c r="AF34" s="97"/>
    </row>
    <row r="35" spans="1:32" s="95" customFormat="1" x14ac:dyDescent="0.25">
      <c r="A35" s="84">
        <f t="shared" si="9"/>
        <v>29</v>
      </c>
      <c r="B35" s="84">
        <v>1365</v>
      </c>
      <c r="C35" s="84" t="s">
        <v>81</v>
      </c>
      <c r="D35" s="94">
        <f>550000-30000</f>
        <v>520000</v>
      </c>
      <c r="E35" s="88">
        <v>550000</v>
      </c>
      <c r="F35" s="88">
        <f t="shared" si="0"/>
        <v>-30000</v>
      </c>
      <c r="G35" s="88">
        <v>520000</v>
      </c>
      <c r="H35" s="88">
        <v>474012.55</v>
      </c>
      <c r="I35" s="88"/>
      <c r="J35" s="88">
        <v>40864.269999999997</v>
      </c>
      <c r="K35" s="88">
        <f t="shared" si="1"/>
        <v>40864.269999999997</v>
      </c>
      <c r="L35" s="88">
        <f t="shared" si="2"/>
        <v>514876.82</v>
      </c>
      <c r="M35" s="94">
        <f>P35+S35</f>
        <v>5123.179999999993</v>
      </c>
      <c r="N35" s="94"/>
      <c r="O35" s="94">
        <f t="shared" si="3"/>
        <v>0</v>
      </c>
      <c r="P35" s="94">
        <f t="shared" si="4"/>
        <v>5123.179999999993</v>
      </c>
      <c r="Q35" s="94"/>
      <c r="R35" s="94"/>
      <c r="S35" s="94">
        <f t="shared" si="5"/>
        <v>0</v>
      </c>
      <c r="T35" s="94">
        <f t="shared" si="6"/>
        <v>0</v>
      </c>
      <c r="U35" s="94">
        <f t="shared" si="7"/>
        <v>0</v>
      </c>
      <c r="V35" s="88">
        <f t="shared" si="8"/>
        <v>0</v>
      </c>
      <c r="W35" s="88"/>
      <c r="X35" s="88"/>
      <c r="Y35" s="84"/>
      <c r="Z35" s="84">
        <v>742000</v>
      </c>
      <c r="AA35" s="87"/>
      <c r="AB35" s="87"/>
      <c r="AC35" s="87"/>
      <c r="AD35" s="87"/>
      <c r="AE35" s="87"/>
      <c r="AF35" s="87"/>
    </row>
    <row r="36" spans="1:32" s="87" customFormat="1" x14ac:dyDescent="0.25">
      <c r="A36" s="84">
        <f t="shared" si="9"/>
        <v>30</v>
      </c>
      <c r="B36" s="84">
        <v>1366</v>
      </c>
      <c r="C36" s="84" t="s">
        <v>58</v>
      </c>
      <c r="D36" s="94">
        <v>1500000</v>
      </c>
      <c r="E36" s="88">
        <v>1500000</v>
      </c>
      <c r="F36" s="88">
        <f t="shared" si="0"/>
        <v>0</v>
      </c>
      <c r="G36" s="88">
        <v>1150000</v>
      </c>
      <c r="H36" s="88">
        <v>681999.52</v>
      </c>
      <c r="I36" s="88">
        <v>135655</v>
      </c>
      <c r="J36" s="88"/>
      <c r="K36" s="88">
        <f t="shared" si="1"/>
        <v>135655</v>
      </c>
      <c r="L36" s="88">
        <f t="shared" si="2"/>
        <v>817654.52</v>
      </c>
      <c r="M36" s="94">
        <f>P36+S36-200000</f>
        <v>132345.47999999998</v>
      </c>
      <c r="N36" s="94"/>
      <c r="O36" s="94">
        <f t="shared" si="3"/>
        <v>550000</v>
      </c>
      <c r="P36" s="94">
        <f t="shared" si="4"/>
        <v>332345.48</v>
      </c>
      <c r="Q36" s="94"/>
      <c r="R36" s="94"/>
      <c r="S36" s="94">
        <f t="shared" si="5"/>
        <v>0</v>
      </c>
      <c r="T36" s="94">
        <f t="shared" si="6"/>
        <v>200000</v>
      </c>
      <c r="U36" s="94">
        <f t="shared" si="7"/>
        <v>-200000</v>
      </c>
      <c r="V36" s="88">
        <f t="shared" si="8"/>
        <v>-200000</v>
      </c>
      <c r="W36" s="88"/>
      <c r="X36" s="88"/>
      <c r="Y36" s="88"/>
      <c r="Z36" s="84">
        <v>742000</v>
      </c>
    </row>
    <row r="37" spans="1:32" s="87" customFormat="1" x14ac:dyDescent="0.25">
      <c r="A37" s="84">
        <f t="shared" si="9"/>
        <v>31</v>
      </c>
      <c r="B37" s="84">
        <v>1395</v>
      </c>
      <c r="C37" s="84" t="s">
        <v>82</v>
      </c>
      <c r="D37" s="94">
        <f>4000000-2239000</f>
        <v>1761000</v>
      </c>
      <c r="E37" s="88">
        <v>4000000</v>
      </c>
      <c r="F37" s="88">
        <f t="shared" si="0"/>
        <v>-2239000</v>
      </c>
      <c r="G37" s="88">
        <v>2170000</v>
      </c>
      <c r="H37" s="88">
        <v>1631124.76</v>
      </c>
      <c r="I37" s="88">
        <v>29805.3</v>
      </c>
      <c r="J37" s="88"/>
      <c r="K37" s="88">
        <f t="shared" si="1"/>
        <v>29805.3</v>
      </c>
      <c r="L37" s="88">
        <f t="shared" si="2"/>
        <v>1660930.06</v>
      </c>
      <c r="M37" s="94">
        <f>P37+S37-409000</f>
        <v>100069.93999999994</v>
      </c>
      <c r="N37" s="94"/>
      <c r="O37" s="94">
        <f t="shared" si="3"/>
        <v>0</v>
      </c>
      <c r="P37" s="94">
        <f t="shared" si="4"/>
        <v>509069.93999999994</v>
      </c>
      <c r="Q37" s="94"/>
      <c r="R37" s="94"/>
      <c r="S37" s="94">
        <f t="shared" si="5"/>
        <v>0</v>
      </c>
      <c r="T37" s="94">
        <f t="shared" si="6"/>
        <v>409000</v>
      </c>
      <c r="U37" s="94">
        <f t="shared" si="7"/>
        <v>-409000</v>
      </c>
      <c r="V37" s="88">
        <f t="shared" si="8"/>
        <v>-409000</v>
      </c>
      <c r="W37" s="88"/>
      <c r="X37" s="88"/>
      <c r="Y37" s="84"/>
      <c r="Z37" s="84">
        <v>731000</v>
      </c>
    </row>
    <row r="38" spans="1:32" s="87" customFormat="1" x14ac:dyDescent="0.25">
      <c r="A38" s="84">
        <f t="shared" si="9"/>
        <v>32</v>
      </c>
      <c r="B38" s="84">
        <v>1451</v>
      </c>
      <c r="C38" s="84" t="s">
        <v>83</v>
      </c>
      <c r="D38" s="94">
        <f>100000</f>
        <v>100000</v>
      </c>
      <c r="E38" s="88">
        <v>100000</v>
      </c>
      <c r="F38" s="88">
        <f t="shared" si="0"/>
        <v>0</v>
      </c>
      <c r="G38" s="88">
        <v>100000</v>
      </c>
      <c r="H38" s="88">
        <v>14589.04</v>
      </c>
      <c r="I38" s="88"/>
      <c r="J38" s="88">
        <v>59999.839999999997</v>
      </c>
      <c r="K38" s="88">
        <f t="shared" si="1"/>
        <v>59999.839999999997</v>
      </c>
      <c r="L38" s="88">
        <f t="shared" si="2"/>
        <v>74588.88</v>
      </c>
      <c r="M38" s="94">
        <f>P38+S38-25000</f>
        <v>411.11999999999534</v>
      </c>
      <c r="N38" s="94"/>
      <c r="O38" s="94">
        <f t="shared" si="3"/>
        <v>25000</v>
      </c>
      <c r="P38" s="94">
        <f t="shared" si="4"/>
        <v>25411.119999999995</v>
      </c>
      <c r="Q38" s="94"/>
      <c r="R38" s="94"/>
      <c r="S38" s="94">
        <f t="shared" si="5"/>
        <v>0</v>
      </c>
      <c r="T38" s="94">
        <f t="shared" si="6"/>
        <v>25000</v>
      </c>
      <c r="U38" s="94">
        <f t="shared" si="7"/>
        <v>-25000</v>
      </c>
      <c r="V38" s="88">
        <f t="shared" si="8"/>
        <v>-25000</v>
      </c>
      <c r="W38" s="88"/>
      <c r="X38" s="88"/>
      <c r="Y38" s="84"/>
      <c r="Z38" s="84">
        <v>823000</v>
      </c>
    </row>
    <row r="39" spans="1:32" s="92" customFormat="1" x14ac:dyDescent="0.25">
      <c r="A39" s="84">
        <f t="shared" si="9"/>
        <v>33</v>
      </c>
      <c r="B39" s="84">
        <v>1457</v>
      </c>
      <c r="C39" s="84" t="s">
        <v>501</v>
      </c>
      <c r="D39" s="94">
        <v>1100000</v>
      </c>
      <c r="E39" s="88">
        <v>1100000</v>
      </c>
      <c r="F39" s="88">
        <f t="shared" ref="F39:F66" si="11">D39-E39</f>
        <v>0</v>
      </c>
      <c r="G39" s="88">
        <v>430000</v>
      </c>
      <c r="H39" s="88">
        <v>137719.09</v>
      </c>
      <c r="I39" s="88">
        <v>34718.01</v>
      </c>
      <c r="J39" s="88"/>
      <c r="K39" s="88">
        <f t="shared" ref="K39:K67" si="12">SUM(I39:J39)</f>
        <v>34718.01</v>
      </c>
      <c r="L39" s="88">
        <f t="shared" ref="L39:L67" si="13">H39+K39</f>
        <v>172437.1</v>
      </c>
      <c r="M39" s="94">
        <f>P39+S39-200000</f>
        <v>57562.899999999994</v>
      </c>
      <c r="N39" s="94">
        <v>500000</v>
      </c>
      <c r="O39" s="94">
        <f t="shared" ref="O39:O67" si="14">D39-L39-M39-N39</f>
        <v>370000</v>
      </c>
      <c r="P39" s="94">
        <f t="shared" ref="P39:P69" si="15">G39-L39</f>
        <v>257562.9</v>
      </c>
      <c r="Q39" s="94"/>
      <c r="R39" s="94"/>
      <c r="S39" s="94">
        <f t="shared" ref="S39:S67" si="16">SUM(Q39:R39)</f>
        <v>0</v>
      </c>
      <c r="T39" s="94">
        <f t="shared" ref="T39:T67" si="17">P39-M39+S39</f>
        <v>200000</v>
      </c>
      <c r="U39" s="94">
        <f t="shared" ref="U39:U67" si="18">N39-T39</f>
        <v>300000</v>
      </c>
      <c r="V39" s="88">
        <f t="shared" ref="V39:V67" si="19">U39-Y39-W39-X39</f>
        <v>-200000</v>
      </c>
      <c r="W39" s="88"/>
      <c r="X39" s="88"/>
      <c r="Y39" s="88">
        <v>500000</v>
      </c>
      <c r="Z39" s="84">
        <v>742000</v>
      </c>
      <c r="AA39" s="87"/>
      <c r="AB39" s="87"/>
      <c r="AC39" s="87"/>
      <c r="AD39" s="87"/>
      <c r="AE39" s="87"/>
      <c r="AF39" s="87"/>
    </row>
    <row r="40" spans="1:32" s="87" customFormat="1" x14ac:dyDescent="0.25">
      <c r="A40" s="84">
        <f t="shared" si="9"/>
        <v>34</v>
      </c>
      <c r="B40" s="84">
        <v>1503</v>
      </c>
      <c r="C40" s="84" t="s">
        <v>84</v>
      </c>
      <c r="D40" s="94">
        <v>2000000</v>
      </c>
      <c r="E40" s="88">
        <v>2000000</v>
      </c>
      <c r="F40" s="88">
        <f t="shared" si="11"/>
        <v>0</v>
      </c>
      <c r="G40" s="88">
        <v>180000</v>
      </c>
      <c r="H40" s="88">
        <v>94507.23</v>
      </c>
      <c r="I40" s="88">
        <v>15734.55</v>
      </c>
      <c r="J40" s="88"/>
      <c r="K40" s="88">
        <f t="shared" si="12"/>
        <v>15734.55</v>
      </c>
      <c r="L40" s="88">
        <f t="shared" si="13"/>
        <v>110241.78</v>
      </c>
      <c r="M40" s="94">
        <f t="shared" ref="M40:M59" si="20">P40+S40</f>
        <v>69758.22</v>
      </c>
      <c r="N40" s="94"/>
      <c r="O40" s="94">
        <f t="shared" si="14"/>
        <v>1820000</v>
      </c>
      <c r="P40" s="94">
        <f t="shared" si="15"/>
        <v>69758.22</v>
      </c>
      <c r="Q40" s="94"/>
      <c r="R40" s="94"/>
      <c r="S40" s="94">
        <f t="shared" si="16"/>
        <v>0</v>
      </c>
      <c r="T40" s="94">
        <f t="shared" si="17"/>
        <v>0</v>
      </c>
      <c r="U40" s="94">
        <f t="shared" si="18"/>
        <v>0</v>
      </c>
      <c r="V40" s="88">
        <f t="shared" si="19"/>
        <v>0</v>
      </c>
      <c r="W40" s="88"/>
      <c r="X40" s="88"/>
      <c r="Y40" s="84"/>
      <c r="Z40" s="84">
        <v>742000</v>
      </c>
    </row>
    <row r="41" spans="1:32" s="92" customFormat="1" ht="15.6" x14ac:dyDescent="0.25">
      <c r="A41" s="84">
        <f t="shared" si="9"/>
        <v>35</v>
      </c>
      <c r="B41" s="84">
        <v>1511</v>
      </c>
      <c r="C41" s="35" t="s">
        <v>60</v>
      </c>
      <c r="D41" s="94">
        <v>960000</v>
      </c>
      <c r="E41" s="88">
        <v>960000</v>
      </c>
      <c r="F41" s="88">
        <f t="shared" si="11"/>
        <v>0</v>
      </c>
      <c r="G41" s="88">
        <v>100000</v>
      </c>
      <c r="H41" s="88">
        <v>17284</v>
      </c>
      <c r="I41" s="88">
        <v>4321</v>
      </c>
      <c r="J41" s="88"/>
      <c r="K41" s="88">
        <f t="shared" si="12"/>
        <v>4321</v>
      </c>
      <c r="L41" s="88">
        <f t="shared" si="13"/>
        <v>21605</v>
      </c>
      <c r="M41" s="94">
        <f t="shared" si="20"/>
        <v>78395</v>
      </c>
      <c r="N41" s="94"/>
      <c r="O41" s="94">
        <f t="shared" si="14"/>
        <v>860000</v>
      </c>
      <c r="P41" s="94">
        <f t="shared" si="15"/>
        <v>78395</v>
      </c>
      <c r="Q41" s="94"/>
      <c r="R41" s="94"/>
      <c r="S41" s="94">
        <f t="shared" si="16"/>
        <v>0</v>
      </c>
      <c r="T41" s="94">
        <f t="shared" si="17"/>
        <v>0</v>
      </c>
      <c r="U41" s="94">
        <f t="shared" si="18"/>
        <v>0</v>
      </c>
      <c r="V41" s="88">
        <f t="shared" si="19"/>
        <v>0</v>
      </c>
      <c r="W41" s="88"/>
      <c r="X41" s="88"/>
      <c r="Y41" s="88"/>
      <c r="Z41" s="84">
        <v>742000</v>
      </c>
      <c r="AA41" s="87"/>
      <c r="AB41" s="87"/>
      <c r="AC41" s="87"/>
      <c r="AD41" s="87"/>
      <c r="AE41" s="87"/>
      <c r="AF41" s="87"/>
    </row>
    <row r="42" spans="1:32" s="92" customFormat="1" x14ac:dyDescent="0.25">
      <c r="A42" s="84">
        <f t="shared" si="9"/>
        <v>36</v>
      </c>
      <c r="B42" s="84">
        <v>1529</v>
      </c>
      <c r="C42" s="84" t="s">
        <v>85</v>
      </c>
      <c r="D42" s="94">
        <f>200000+150000</f>
        <v>350000</v>
      </c>
      <c r="E42" s="88">
        <v>200000</v>
      </c>
      <c r="F42" s="88">
        <f t="shared" si="11"/>
        <v>150000</v>
      </c>
      <c r="G42" s="88">
        <v>200000</v>
      </c>
      <c r="H42" s="88">
        <v>110179.55</v>
      </c>
      <c r="I42" s="88"/>
      <c r="J42" s="88"/>
      <c r="K42" s="88">
        <f t="shared" si="12"/>
        <v>0</v>
      </c>
      <c r="L42" s="88">
        <f t="shared" si="13"/>
        <v>110179.55</v>
      </c>
      <c r="M42" s="94">
        <f t="shared" si="20"/>
        <v>89820.45</v>
      </c>
      <c r="N42" s="94">
        <v>150000</v>
      </c>
      <c r="O42" s="94">
        <f t="shared" si="14"/>
        <v>0</v>
      </c>
      <c r="P42" s="94">
        <f t="shared" si="15"/>
        <v>89820.45</v>
      </c>
      <c r="Q42" s="94"/>
      <c r="R42" s="94"/>
      <c r="S42" s="94">
        <f t="shared" si="16"/>
        <v>0</v>
      </c>
      <c r="T42" s="94">
        <f t="shared" si="17"/>
        <v>0</v>
      </c>
      <c r="U42" s="94">
        <f t="shared" si="18"/>
        <v>150000</v>
      </c>
      <c r="V42" s="88">
        <f t="shared" si="19"/>
        <v>150000</v>
      </c>
      <c r="W42" s="88"/>
      <c r="X42" s="88"/>
      <c r="Y42" s="88"/>
      <c r="Z42" s="84">
        <v>760000</v>
      </c>
      <c r="AA42" s="87"/>
      <c r="AB42" s="87"/>
      <c r="AC42" s="87"/>
      <c r="AD42" s="87"/>
      <c r="AE42" s="87"/>
      <c r="AF42" s="87"/>
    </row>
    <row r="43" spans="1:32" s="97" customFormat="1" x14ac:dyDescent="0.25">
      <c r="A43" s="84">
        <f t="shared" si="9"/>
        <v>37</v>
      </c>
      <c r="B43" s="84">
        <v>1568</v>
      </c>
      <c r="C43" s="84" t="s">
        <v>86</v>
      </c>
      <c r="D43" s="94">
        <f>42000000+4375301</f>
        <v>46375301</v>
      </c>
      <c r="E43" s="88">
        <v>42000000</v>
      </c>
      <c r="F43" s="88">
        <f t="shared" si="11"/>
        <v>4375301</v>
      </c>
      <c r="G43" s="88">
        <v>37875301</v>
      </c>
      <c r="H43" s="88">
        <v>27704340.309999999</v>
      </c>
      <c r="I43" s="88">
        <v>123401.89</v>
      </c>
      <c r="J43" s="88">
        <v>843454.24</v>
      </c>
      <c r="K43" s="88">
        <f t="shared" si="12"/>
        <v>966856.13</v>
      </c>
      <c r="L43" s="88">
        <f t="shared" si="13"/>
        <v>28671196.439999998</v>
      </c>
      <c r="M43" s="94">
        <f>P43+S43-9000000</f>
        <v>204104.56000000238</v>
      </c>
      <c r="N43" s="94">
        <f>5000000-5000000</f>
        <v>0</v>
      </c>
      <c r="O43" s="94">
        <f t="shared" si="14"/>
        <v>17500000</v>
      </c>
      <c r="P43" s="94">
        <f t="shared" si="15"/>
        <v>9204104.5600000024</v>
      </c>
      <c r="Q43" s="94"/>
      <c r="R43" s="94"/>
      <c r="S43" s="94">
        <f t="shared" si="16"/>
        <v>0</v>
      </c>
      <c r="T43" s="94">
        <f t="shared" si="17"/>
        <v>9000000</v>
      </c>
      <c r="U43" s="94">
        <f t="shared" si="18"/>
        <v>-9000000</v>
      </c>
      <c r="V43" s="88">
        <f t="shared" si="19"/>
        <v>-9000000</v>
      </c>
      <c r="W43" s="88"/>
      <c r="X43" s="88"/>
      <c r="Y43" s="88"/>
      <c r="Z43" s="84">
        <v>746000</v>
      </c>
      <c r="AA43" s="87"/>
      <c r="AB43" s="87"/>
      <c r="AC43" s="87"/>
      <c r="AD43" s="87"/>
      <c r="AE43" s="87"/>
      <c r="AF43" s="87"/>
    </row>
    <row r="44" spans="1:32" s="87" customFormat="1" x14ac:dyDescent="0.25">
      <c r="A44" s="84">
        <f t="shared" si="9"/>
        <v>38</v>
      </c>
      <c r="B44" s="84">
        <v>1576</v>
      </c>
      <c r="C44" s="84" t="s">
        <v>87</v>
      </c>
      <c r="D44" s="94">
        <f>1000000</f>
        <v>1000000</v>
      </c>
      <c r="E44" s="88">
        <v>1000000</v>
      </c>
      <c r="F44" s="88">
        <f t="shared" si="11"/>
        <v>0</v>
      </c>
      <c r="G44" s="88">
        <v>600000</v>
      </c>
      <c r="H44" s="88">
        <v>350511.17</v>
      </c>
      <c r="I44" s="88"/>
      <c r="J44" s="88">
        <v>62499.24</v>
      </c>
      <c r="K44" s="88">
        <f t="shared" si="12"/>
        <v>62499.24</v>
      </c>
      <c r="L44" s="88">
        <f t="shared" si="13"/>
        <v>413010.41</v>
      </c>
      <c r="M44" s="94">
        <f>P44+S44-100000</f>
        <v>86989.590000000026</v>
      </c>
      <c r="N44" s="94"/>
      <c r="O44" s="94">
        <f t="shared" si="14"/>
        <v>500000.00000000006</v>
      </c>
      <c r="P44" s="94">
        <f t="shared" si="15"/>
        <v>186989.59000000003</v>
      </c>
      <c r="Q44" s="94"/>
      <c r="R44" s="94"/>
      <c r="S44" s="94">
        <f t="shared" si="16"/>
        <v>0</v>
      </c>
      <c r="T44" s="94">
        <f t="shared" si="17"/>
        <v>100000</v>
      </c>
      <c r="U44" s="94">
        <f t="shared" si="18"/>
        <v>-100000</v>
      </c>
      <c r="V44" s="88">
        <f t="shared" si="19"/>
        <v>-100000</v>
      </c>
      <c r="W44" s="88"/>
      <c r="X44" s="88"/>
      <c r="Y44" s="84"/>
      <c r="Z44" s="84">
        <v>732000</v>
      </c>
    </row>
    <row r="45" spans="1:32" s="87" customFormat="1" x14ac:dyDescent="0.25">
      <c r="A45" s="84">
        <f t="shared" si="9"/>
        <v>39</v>
      </c>
      <c r="B45" s="93">
        <v>1587</v>
      </c>
      <c r="C45" s="93" t="s">
        <v>257</v>
      </c>
      <c r="D45" s="94">
        <v>34200000</v>
      </c>
      <c r="E45" s="94">
        <v>15000000</v>
      </c>
      <c r="F45" s="94">
        <f t="shared" si="11"/>
        <v>19200000</v>
      </c>
      <c r="G45" s="94">
        <v>11000000</v>
      </c>
      <c r="H45" s="94">
        <v>7851483</v>
      </c>
      <c r="I45" s="94">
        <v>153331</v>
      </c>
      <c r="J45" s="94">
        <v>54855</v>
      </c>
      <c r="K45" s="94">
        <f t="shared" si="12"/>
        <v>208186</v>
      </c>
      <c r="L45" s="94">
        <f t="shared" si="13"/>
        <v>8059669</v>
      </c>
      <c r="M45" s="94">
        <f>P45+S45-200000</f>
        <v>2740331</v>
      </c>
      <c r="N45" s="94">
        <f>11600000-3600000-3000000-2000000-3000000</f>
        <v>0</v>
      </c>
      <c r="O45" s="94">
        <f t="shared" si="14"/>
        <v>23400000</v>
      </c>
      <c r="P45" s="94">
        <f t="shared" si="15"/>
        <v>2940331</v>
      </c>
      <c r="Q45" s="94"/>
      <c r="R45" s="94"/>
      <c r="S45" s="94">
        <f t="shared" si="16"/>
        <v>0</v>
      </c>
      <c r="T45" s="94">
        <f t="shared" si="17"/>
        <v>200000</v>
      </c>
      <c r="U45" s="94">
        <f t="shared" si="18"/>
        <v>-200000</v>
      </c>
      <c r="V45" s="94">
        <f t="shared" si="19"/>
        <v>-200000</v>
      </c>
      <c r="W45" s="94"/>
      <c r="X45" s="94"/>
      <c r="Y45" s="93"/>
      <c r="Z45" s="93">
        <v>742000</v>
      </c>
      <c r="AA45" s="95"/>
      <c r="AB45" s="95"/>
      <c r="AC45" s="95"/>
      <c r="AD45" s="95"/>
      <c r="AE45" s="95"/>
      <c r="AF45" s="95"/>
    </row>
    <row r="46" spans="1:32" s="87" customFormat="1" x14ac:dyDescent="0.25">
      <c r="A46" s="84">
        <f t="shared" si="9"/>
        <v>40</v>
      </c>
      <c r="B46" s="84">
        <v>1601</v>
      </c>
      <c r="C46" s="84" t="s">
        <v>62</v>
      </c>
      <c r="D46" s="94">
        <v>700000</v>
      </c>
      <c r="E46" s="88">
        <v>500000</v>
      </c>
      <c r="F46" s="88">
        <f t="shared" si="11"/>
        <v>200000</v>
      </c>
      <c r="G46" s="88">
        <v>500000</v>
      </c>
      <c r="H46" s="88">
        <v>352852</v>
      </c>
      <c r="I46" s="88">
        <v>79587</v>
      </c>
      <c r="J46" s="88"/>
      <c r="K46" s="88">
        <f t="shared" si="12"/>
        <v>79587</v>
      </c>
      <c r="L46" s="88">
        <f t="shared" si="13"/>
        <v>432439</v>
      </c>
      <c r="M46" s="94">
        <f t="shared" si="20"/>
        <v>67561</v>
      </c>
      <c r="N46" s="94">
        <v>150000</v>
      </c>
      <c r="O46" s="94">
        <f t="shared" si="14"/>
        <v>50000</v>
      </c>
      <c r="P46" s="94">
        <f t="shared" si="15"/>
        <v>67561</v>
      </c>
      <c r="Q46" s="94"/>
      <c r="R46" s="94"/>
      <c r="S46" s="94">
        <f t="shared" si="16"/>
        <v>0</v>
      </c>
      <c r="T46" s="94">
        <f t="shared" si="17"/>
        <v>0</v>
      </c>
      <c r="U46" s="94">
        <f t="shared" si="18"/>
        <v>150000</v>
      </c>
      <c r="V46" s="88">
        <f t="shared" si="19"/>
        <v>150000</v>
      </c>
      <c r="W46" s="88"/>
      <c r="X46" s="88"/>
      <c r="Y46" s="88"/>
      <c r="Z46" s="84">
        <v>742000</v>
      </c>
    </row>
    <row r="47" spans="1:32" s="87" customFormat="1" x14ac:dyDescent="0.25">
      <c r="A47" s="84">
        <f t="shared" si="9"/>
        <v>41</v>
      </c>
      <c r="B47" s="84">
        <v>1602</v>
      </c>
      <c r="C47" s="84" t="s">
        <v>45</v>
      </c>
      <c r="D47" s="94">
        <v>34500000</v>
      </c>
      <c r="E47" s="88">
        <v>30700000</v>
      </c>
      <c r="F47" s="88">
        <f t="shared" si="11"/>
        <v>3800000</v>
      </c>
      <c r="G47" s="88">
        <f>6500000+1582069</f>
        <v>8082069</v>
      </c>
      <c r="H47" s="88">
        <v>214820.57</v>
      </c>
      <c r="I47" s="88">
        <v>327308</v>
      </c>
      <c r="J47" s="88">
        <v>822040</v>
      </c>
      <c r="K47" s="88">
        <f t="shared" si="12"/>
        <v>1149348</v>
      </c>
      <c r="L47" s="88">
        <f t="shared" si="13"/>
        <v>1364168.57</v>
      </c>
      <c r="M47" s="94">
        <f t="shared" si="20"/>
        <v>12857900.43</v>
      </c>
      <c r="N47" s="94">
        <f>3800000+16477931-1000000+1000000</f>
        <v>20277931</v>
      </c>
      <c r="O47" s="94">
        <f t="shared" si="14"/>
        <v>0</v>
      </c>
      <c r="P47" s="94">
        <f t="shared" si="15"/>
        <v>6717900.4299999997</v>
      </c>
      <c r="Q47" s="94">
        <v>6140000</v>
      </c>
      <c r="R47" s="94"/>
      <c r="S47" s="94">
        <f t="shared" si="16"/>
        <v>6140000</v>
      </c>
      <c r="T47" s="94">
        <f t="shared" si="17"/>
        <v>0</v>
      </c>
      <c r="U47" s="94">
        <f t="shared" si="18"/>
        <v>20277931</v>
      </c>
      <c r="V47" s="88">
        <f t="shared" si="19"/>
        <v>-10240000</v>
      </c>
      <c r="W47" s="88"/>
      <c r="X47" s="88"/>
      <c r="Y47" s="88">
        <f>32100000-1582069</f>
        <v>30517931</v>
      </c>
      <c r="Z47" s="84">
        <v>742000</v>
      </c>
    </row>
    <row r="48" spans="1:32" s="87" customFormat="1" x14ac:dyDescent="0.25">
      <c r="A48" s="84">
        <f t="shared" si="9"/>
        <v>42</v>
      </c>
      <c r="B48" s="84">
        <v>1606</v>
      </c>
      <c r="C48" s="84" t="s">
        <v>63</v>
      </c>
      <c r="D48" s="94">
        <f>1299574-70000</f>
        <v>1229574</v>
      </c>
      <c r="E48" s="88">
        <v>1299574</v>
      </c>
      <c r="F48" s="88">
        <f t="shared" si="11"/>
        <v>-70000</v>
      </c>
      <c r="G48" s="88">
        <v>1299574</v>
      </c>
      <c r="H48" s="88">
        <v>1228338</v>
      </c>
      <c r="I48" s="88"/>
      <c r="J48" s="88">
        <v>719.21</v>
      </c>
      <c r="K48" s="88">
        <f t="shared" si="12"/>
        <v>719.21</v>
      </c>
      <c r="L48" s="88">
        <f t="shared" si="13"/>
        <v>1229057.21</v>
      </c>
      <c r="M48" s="94">
        <f>P48+S48-70000</f>
        <v>516.79000000003725</v>
      </c>
      <c r="N48" s="94"/>
      <c r="O48" s="94">
        <f t="shared" si="14"/>
        <v>0</v>
      </c>
      <c r="P48" s="94">
        <f t="shared" si="15"/>
        <v>70516.790000000037</v>
      </c>
      <c r="Q48" s="94"/>
      <c r="R48" s="94"/>
      <c r="S48" s="94">
        <f t="shared" si="16"/>
        <v>0</v>
      </c>
      <c r="T48" s="94">
        <f t="shared" si="17"/>
        <v>70000</v>
      </c>
      <c r="U48" s="94">
        <f t="shared" si="18"/>
        <v>-70000</v>
      </c>
      <c r="V48" s="88">
        <f t="shared" si="19"/>
        <v>-70000</v>
      </c>
      <c r="W48" s="88"/>
      <c r="X48" s="88"/>
      <c r="Y48" s="88"/>
      <c r="Z48" s="84">
        <v>829000</v>
      </c>
    </row>
    <row r="49" spans="1:32" s="87" customFormat="1" x14ac:dyDescent="0.25">
      <c r="A49" s="84">
        <f t="shared" si="9"/>
        <v>43</v>
      </c>
      <c r="B49" s="84">
        <v>1670</v>
      </c>
      <c r="C49" s="84" t="s">
        <v>258</v>
      </c>
      <c r="D49" s="94">
        <v>12500000</v>
      </c>
      <c r="E49" s="88">
        <v>12500000</v>
      </c>
      <c r="F49" s="88">
        <f t="shared" si="11"/>
        <v>0</v>
      </c>
      <c r="G49" s="88">
        <v>3800000</v>
      </c>
      <c r="H49" s="88">
        <v>74768</v>
      </c>
      <c r="I49" s="88">
        <v>46859.72</v>
      </c>
      <c r="J49" s="88">
        <v>263887.65000000002</v>
      </c>
      <c r="K49" s="88">
        <f t="shared" si="12"/>
        <v>310747.37</v>
      </c>
      <c r="L49" s="88">
        <f t="shared" si="13"/>
        <v>385515.37</v>
      </c>
      <c r="M49" s="94">
        <f t="shared" si="20"/>
        <v>3414484.63</v>
      </c>
      <c r="N49" s="94"/>
      <c r="O49" s="94">
        <f t="shared" si="14"/>
        <v>8700000</v>
      </c>
      <c r="P49" s="94">
        <f t="shared" si="15"/>
        <v>3414484.63</v>
      </c>
      <c r="Q49" s="94"/>
      <c r="R49" s="94"/>
      <c r="S49" s="94">
        <f t="shared" si="16"/>
        <v>0</v>
      </c>
      <c r="T49" s="94">
        <f t="shared" si="17"/>
        <v>0</v>
      </c>
      <c r="U49" s="94">
        <f t="shared" si="18"/>
        <v>0</v>
      </c>
      <c r="V49" s="88">
        <f t="shared" si="19"/>
        <v>0</v>
      </c>
      <c r="W49" s="88"/>
      <c r="X49" s="88"/>
      <c r="Y49" s="88"/>
      <c r="Z49" s="84">
        <v>742000</v>
      </c>
    </row>
    <row r="50" spans="1:32" s="87" customFormat="1" x14ac:dyDescent="0.25">
      <c r="A50" s="84">
        <f t="shared" si="9"/>
        <v>44</v>
      </c>
      <c r="B50" s="84">
        <v>1672</v>
      </c>
      <c r="C50" s="84" t="s">
        <v>29</v>
      </c>
      <c r="D50" s="94">
        <v>500000</v>
      </c>
      <c r="E50" s="88">
        <v>500000</v>
      </c>
      <c r="F50" s="88">
        <f t="shared" si="11"/>
        <v>0</v>
      </c>
      <c r="G50" s="88">
        <v>500000</v>
      </c>
      <c r="H50" s="88">
        <v>67688.149999999994</v>
      </c>
      <c r="I50" s="88">
        <v>57997.59</v>
      </c>
      <c r="J50" s="88"/>
      <c r="K50" s="88">
        <f t="shared" si="12"/>
        <v>57997.59</v>
      </c>
      <c r="L50" s="88">
        <f t="shared" si="13"/>
        <v>125685.73999999999</v>
      </c>
      <c r="M50" s="94">
        <f t="shared" si="20"/>
        <v>374314.26</v>
      </c>
      <c r="N50" s="94"/>
      <c r="O50" s="94">
        <f t="shared" si="14"/>
        <v>0</v>
      </c>
      <c r="P50" s="94">
        <f t="shared" si="15"/>
        <v>374314.26</v>
      </c>
      <c r="Q50" s="94"/>
      <c r="R50" s="94"/>
      <c r="S50" s="94">
        <f t="shared" si="16"/>
        <v>0</v>
      </c>
      <c r="T50" s="94">
        <f t="shared" si="17"/>
        <v>0</v>
      </c>
      <c r="U50" s="94">
        <f t="shared" si="18"/>
        <v>0</v>
      </c>
      <c r="V50" s="88">
        <f t="shared" si="19"/>
        <v>0</v>
      </c>
      <c r="W50" s="88"/>
      <c r="X50" s="88"/>
      <c r="Y50" s="88"/>
      <c r="Z50" s="84">
        <v>732000</v>
      </c>
    </row>
    <row r="51" spans="1:32" s="87" customFormat="1" x14ac:dyDescent="0.25">
      <c r="A51" s="84">
        <f t="shared" si="9"/>
        <v>45</v>
      </c>
      <c r="B51" s="84">
        <v>1673</v>
      </c>
      <c r="C51" s="84" t="s">
        <v>30</v>
      </c>
      <c r="D51" s="94">
        <v>200000</v>
      </c>
      <c r="E51" s="88">
        <v>200000</v>
      </c>
      <c r="F51" s="88">
        <f t="shared" si="11"/>
        <v>0</v>
      </c>
      <c r="G51" s="88">
        <v>200000</v>
      </c>
      <c r="H51" s="88">
        <v>66023.8</v>
      </c>
      <c r="I51" s="88">
        <v>23397.78</v>
      </c>
      <c r="J51" s="88"/>
      <c r="K51" s="88">
        <f t="shared" si="12"/>
        <v>23397.78</v>
      </c>
      <c r="L51" s="88">
        <f t="shared" si="13"/>
        <v>89421.58</v>
      </c>
      <c r="M51" s="94">
        <f t="shared" si="20"/>
        <v>110578.42</v>
      </c>
      <c r="N51" s="94"/>
      <c r="O51" s="94">
        <f t="shared" si="14"/>
        <v>0</v>
      </c>
      <c r="P51" s="94">
        <f t="shared" si="15"/>
        <v>110578.42</v>
      </c>
      <c r="Q51" s="94"/>
      <c r="R51" s="94"/>
      <c r="S51" s="94">
        <f t="shared" si="16"/>
        <v>0</v>
      </c>
      <c r="T51" s="94">
        <f t="shared" si="17"/>
        <v>0</v>
      </c>
      <c r="U51" s="94">
        <f t="shared" si="18"/>
        <v>0</v>
      </c>
      <c r="V51" s="88">
        <f t="shared" si="19"/>
        <v>0</v>
      </c>
      <c r="W51" s="88"/>
      <c r="X51" s="88"/>
      <c r="Y51" s="88"/>
      <c r="Z51" s="84">
        <v>732000</v>
      </c>
      <c r="AB51" s="92"/>
      <c r="AC51" s="92"/>
      <c r="AD51" s="92"/>
      <c r="AE51" s="92"/>
      <c r="AF51" s="92"/>
    </row>
    <row r="52" spans="1:32" s="95" customFormat="1" x14ac:dyDescent="0.25">
      <c r="A52" s="84">
        <f t="shared" si="9"/>
        <v>46</v>
      </c>
      <c r="B52" s="84">
        <v>1719</v>
      </c>
      <c r="C52" s="84" t="s">
        <v>90</v>
      </c>
      <c r="D52" s="94">
        <v>1000000</v>
      </c>
      <c r="E52" s="88">
        <v>1000000</v>
      </c>
      <c r="F52" s="88">
        <f t="shared" si="11"/>
        <v>0</v>
      </c>
      <c r="G52" s="88">
        <v>1000000</v>
      </c>
      <c r="H52" s="88">
        <v>74636.990000000005</v>
      </c>
      <c r="I52" s="88">
        <v>453189.49</v>
      </c>
      <c r="J52" s="88"/>
      <c r="K52" s="88">
        <f t="shared" si="12"/>
        <v>453189.49</v>
      </c>
      <c r="L52" s="88">
        <f t="shared" si="13"/>
        <v>527826.48</v>
      </c>
      <c r="M52" s="94">
        <f t="shared" si="20"/>
        <v>472173.52</v>
      </c>
      <c r="N52" s="94"/>
      <c r="O52" s="94">
        <f t="shared" si="14"/>
        <v>0</v>
      </c>
      <c r="P52" s="94">
        <f t="shared" si="15"/>
        <v>472173.52</v>
      </c>
      <c r="Q52" s="94"/>
      <c r="R52" s="94"/>
      <c r="S52" s="94">
        <f t="shared" si="16"/>
        <v>0</v>
      </c>
      <c r="T52" s="94">
        <f t="shared" si="17"/>
        <v>0</v>
      </c>
      <c r="U52" s="94">
        <f t="shared" si="18"/>
        <v>0</v>
      </c>
      <c r="V52" s="88">
        <f t="shared" si="19"/>
        <v>0</v>
      </c>
      <c r="W52" s="88"/>
      <c r="X52" s="88"/>
      <c r="Y52" s="84"/>
      <c r="Z52" s="84">
        <v>742000</v>
      </c>
      <c r="AA52" s="87"/>
      <c r="AB52" s="87"/>
      <c r="AC52" s="87"/>
      <c r="AD52" s="87"/>
      <c r="AE52" s="87"/>
      <c r="AF52" s="87"/>
    </row>
    <row r="53" spans="1:32" s="87" customFormat="1" x14ac:dyDescent="0.25">
      <c r="A53" s="84">
        <f t="shared" si="9"/>
        <v>47</v>
      </c>
      <c r="B53" s="84">
        <v>1722</v>
      </c>
      <c r="C53" s="84" t="s">
        <v>65</v>
      </c>
      <c r="D53" s="94">
        <v>2400000</v>
      </c>
      <c r="E53" s="88">
        <v>2400000</v>
      </c>
      <c r="F53" s="88">
        <f t="shared" si="11"/>
        <v>0</v>
      </c>
      <c r="G53" s="88">
        <v>1400000</v>
      </c>
      <c r="H53" s="88">
        <v>70298.399999999994</v>
      </c>
      <c r="I53" s="88">
        <v>72987.72</v>
      </c>
      <c r="J53" s="88">
        <v>67052.7</v>
      </c>
      <c r="K53" s="88">
        <f t="shared" si="12"/>
        <v>140040.41999999998</v>
      </c>
      <c r="L53" s="88">
        <f t="shared" si="13"/>
        <v>210338.81999999998</v>
      </c>
      <c r="M53" s="94">
        <f>P53+S53-1000000</f>
        <v>189661.17999999993</v>
      </c>
      <c r="N53" s="94"/>
      <c r="O53" s="94">
        <f t="shared" si="14"/>
        <v>2000000.0000000002</v>
      </c>
      <c r="P53" s="94">
        <f t="shared" si="15"/>
        <v>1189661.18</v>
      </c>
      <c r="Q53" s="94"/>
      <c r="R53" s="94"/>
      <c r="S53" s="94">
        <f t="shared" si="16"/>
        <v>0</v>
      </c>
      <c r="T53" s="94">
        <f t="shared" si="17"/>
        <v>1000000</v>
      </c>
      <c r="U53" s="94">
        <f t="shared" si="18"/>
        <v>-1000000</v>
      </c>
      <c r="V53" s="88">
        <f t="shared" si="19"/>
        <v>-1000000</v>
      </c>
      <c r="W53" s="88"/>
      <c r="X53" s="88"/>
      <c r="Y53" s="84"/>
      <c r="Z53" s="84">
        <v>742000</v>
      </c>
    </row>
    <row r="54" spans="1:32" s="87" customFormat="1" x14ac:dyDescent="0.25">
      <c r="A54" s="84">
        <f t="shared" si="9"/>
        <v>48</v>
      </c>
      <c r="B54" s="84">
        <v>1725</v>
      </c>
      <c r="C54" s="84" t="s">
        <v>66</v>
      </c>
      <c r="D54" s="94">
        <v>13700000</v>
      </c>
      <c r="E54" s="88">
        <v>13700000</v>
      </c>
      <c r="F54" s="88">
        <f t="shared" si="11"/>
        <v>0</v>
      </c>
      <c r="G54" s="88">
        <v>13700000</v>
      </c>
      <c r="H54" s="88">
        <v>11935672.32</v>
      </c>
      <c r="I54" s="88">
        <v>275276.74</v>
      </c>
      <c r="J54" s="88">
        <v>186978.79</v>
      </c>
      <c r="K54" s="88">
        <f t="shared" si="12"/>
        <v>462255.53</v>
      </c>
      <c r="L54" s="88">
        <f t="shared" si="13"/>
        <v>12397927.85</v>
      </c>
      <c r="M54" s="94">
        <f t="shared" si="20"/>
        <v>1302072.1500000004</v>
      </c>
      <c r="N54" s="94"/>
      <c r="O54" s="94">
        <f t="shared" si="14"/>
        <v>0</v>
      </c>
      <c r="P54" s="94">
        <f t="shared" si="15"/>
        <v>1302072.1500000004</v>
      </c>
      <c r="Q54" s="94"/>
      <c r="R54" s="94"/>
      <c r="S54" s="94">
        <f t="shared" si="16"/>
        <v>0</v>
      </c>
      <c r="T54" s="94">
        <f t="shared" si="17"/>
        <v>0</v>
      </c>
      <c r="U54" s="94">
        <f t="shared" si="18"/>
        <v>0</v>
      </c>
      <c r="V54" s="88">
        <f t="shared" si="19"/>
        <v>0</v>
      </c>
      <c r="W54" s="88"/>
      <c r="X54" s="88"/>
      <c r="Y54" s="84"/>
      <c r="Z54" s="84">
        <v>742000</v>
      </c>
    </row>
    <row r="55" spans="1:32" s="87" customFormat="1" x14ac:dyDescent="0.25">
      <c r="A55" s="84">
        <f t="shared" si="9"/>
        <v>49</v>
      </c>
      <c r="B55" s="84">
        <v>1736</v>
      </c>
      <c r="C55" s="84" t="s">
        <v>94</v>
      </c>
      <c r="D55" s="94">
        <f>650000-45000</f>
        <v>605000</v>
      </c>
      <c r="E55" s="88">
        <v>650000</v>
      </c>
      <c r="F55" s="88">
        <f t="shared" si="11"/>
        <v>-45000</v>
      </c>
      <c r="G55" s="88">
        <v>650000</v>
      </c>
      <c r="H55" s="88">
        <v>463683</v>
      </c>
      <c r="I55" s="88">
        <v>7605</v>
      </c>
      <c r="J55" s="88">
        <v>130072</v>
      </c>
      <c r="K55" s="88">
        <f t="shared" si="12"/>
        <v>137677</v>
      </c>
      <c r="L55" s="88">
        <f t="shared" si="13"/>
        <v>601360</v>
      </c>
      <c r="M55" s="94">
        <f>P55+S55-45000</f>
        <v>3640</v>
      </c>
      <c r="N55" s="94"/>
      <c r="O55" s="94">
        <f t="shared" si="14"/>
        <v>0</v>
      </c>
      <c r="P55" s="94">
        <f t="shared" si="15"/>
        <v>48640</v>
      </c>
      <c r="Q55" s="94"/>
      <c r="R55" s="94"/>
      <c r="S55" s="94">
        <f t="shared" si="16"/>
        <v>0</v>
      </c>
      <c r="T55" s="94">
        <f t="shared" si="17"/>
        <v>45000</v>
      </c>
      <c r="U55" s="94">
        <f t="shared" si="18"/>
        <v>-45000</v>
      </c>
      <c r="V55" s="88">
        <f t="shared" si="19"/>
        <v>-45000</v>
      </c>
      <c r="W55" s="88"/>
      <c r="X55" s="88"/>
      <c r="Y55" s="84"/>
      <c r="Z55" s="84">
        <v>826000</v>
      </c>
      <c r="AB55" s="92"/>
      <c r="AC55" s="92"/>
      <c r="AD55" s="92"/>
      <c r="AE55" s="92"/>
      <c r="AF55" s="92"/>
    </row>
    <row r="56" spans="1:32" s="87" customFormat="1" x14ac:dyDescent="0.25">
      <c r="A56" s="84">
        <f t="shared" si="9"/>
        <v>50</v>
      </c>
      <c r="B56" s="84">
        <v>1742</v>
      </c>
      <c r="C56" s="84" t="s">
        <v>259</v>
      </c>
      <c r="D56" s="94">
        <f>400000-70000</f>
        <v>330000</v>
      </c>
      <c r="E56" s="88">
        <v>400000</v>
      </c>
      <c r="F56" s="88">
        <f t="shared" si="11"/>
        <v>-70000</v>
      </c>
      <c r="G56" s="88">
        <v>400000</v>
      </c>
      <c r="H56" s="88">
        <v>313639</v>
      </c>
      <c r="I56" s="88">
        <v>1907</v>
      </c>
      <c r="J56" s="88"/>
      <c r="K56" s="88">
        <f t="shared" si="12"/>
        <v>1907</v>
      </c>
      <c r="L56" s="88">
        <f t="shared" si="13"/>
        <v>315546</v>
      </c>
      <c r="M56" s="94">
        <f>P56+S56-70000</f>
        <v>14454</v>
      </c>
      <c r="N56" s="94"/>
      <c r="O56" s="94">
        <f t="shared" si="14"/>
        <v>0</v>
      </c>
      <c r="P56" s="94">
        <f t="shared" si="15"/>
        <v>84454</v>
      </c>
      <c r="Q56" s="94"/>
      <c r="R56" s="94"/>
      <c r="S56" s="94">
        <f t="shared" si="16"/>
        <v>0</v>
      </c>
      <c r="T56" s="94">
        <f t="shared" si="17"/>
        <v>70000</v>
      </c>
      <c r="U56" s="94">
        <f t="shared" si="18"/>
        <v>-70000</v>
      </c>
      <c r="V56" s="88">
        <f t="shared" si="19"/>
        <v>-70000</v>
      </c>
      <c r="W56" s="88"/>
      <c r="X56" s="88"/>
      <c r="Y56" s="84"/>
      <c r="Z56" s="84">
        <v>746000</v>
      </c>
      <c r="AB56" s="92"/>
      <c r="AC56" s="92"/>
      <c r="AD56" s="92"/>
      <c r="AE56" s="92"/>
      <c r="AF56" s="92"/>
    </row>
    <row r="57" spans="1:32" s="87" customFormat="1" x14ac:dyDescent="0.25">
      <c r="A57" s="84">
        <f t="shared" si="9"/>
        <v>51</v>
      </c>
      <c r="B57" s="84">
        <v>1743</v>
      </c>
      <c r="C57" s="84" t="s">
        <v>260</v>
      </c>
      <c r="D57" s="94">
        <v>200000</v>
      </c>
      <c r="E57" s="88">
        <v>200000</v>
      </c>
      <c r="F57" s="88">
        <f t="shared" si="11"/>
        <v>0</v>
      </c>
      <c r="G57" s="88">
        <v>200000</v>
      </c>
      <c r="H57" s="231">
        <v>173730</v>
      </c>
      <c r="I57" s="88">
        <v>16068.53</v>
      </c>
      <c r="J57" s="88"/>
      <c r="K57" s="88">
        <f t="shared" si="12"/>
        <v>16068.53</v>
      </c>
      <c r="L57" s="88">
        <f t="shared" si="13"/>
        <v>189798.53</v>
      </c>
      <c r="M57" s="94">
        <f t="shared" si="20"/>
        <v>10201.470000000001</v>
      </c>
      <c r="N57" s="94"/>
      <c r="O57" s="94">
        <f t="shared" si="14"/>
        <v>0</v>
      </c>
      <c r="P57" s="94">
        <f t="shared" si="15"/>
        <v>10201.470000000001</v>
      </c>
      <c r="Q57" s="94"/>
      <c r="R57" s="94"/>
      <c r="S57" s="94">
        <f t="shared" si="16"/>
        <v>0</v>
      </c>
      <c r="T57" s="94">
        <f t="shared" si="17"/>
        <v>0</v>
      </c>
      <c r="U57" s="94">
        <f t="shared" si="18"/>
        <v>0</v>
      </c>
      <c r="V57" s="88">
        <f t="shared" si="19"/>
        <v>0</v>
      </c>
      <c r="W57" s="88"/>
      <c r="X57" s="88"/>
      <c r="Y57" s="84"/>
      <c r="Z57" s="84">
        <v>742000</v>
      </c>
      <c r="AB57" s="92"/>
      <c r="AC57" s="92"/>
      <c r="AD57" s="92"/>
      <c r="AE57" s="92"/>
      <c r="AF57" s="92"/>
    </row>
    <row r="58" spans="1:32" s="87" customFormat="1" x14ac:dyDescent="0.25">
      <c r="A58" s="84">
        <f t="shared" si="9"/>
        <v>52</v>
      </c>
      <c r="B58" s="84">
        <v>1744</v>
      </c>
      <c r="C58" s="84" t="s">
        <v>68</v>
      </c>
      <c r="D58" s="94">
        <v>13000000</v>
      </c>
      <c r="E58" s="88">
        <v>13000000</v>
      </c>
      <c r="F58" s="88">
        <f t="shared" si="11"/>
        <v>0</v>
      </c>
      <c r="G58" s="88">
        <v>1000000</v>
      </c>
      <c r="H58" s="88">
        <v>0</v>
      </c>
      <c r="I58" s="88"/>
      <c r="J58" s="88"/>
      <c r="K58" s="88">
        <f t="shared" si="12"/>
        <v>0</v>
      </c>
      <c r="L58" s="88">
        <f t="shared" si="13"/>
        <v>0</v>
      </c>
      <c r="M58" s="94">
        <f t="shared" si="20"/>
        <v>7200000</v>
      </c>
      <c r="N58" s="94"/>
      <c r="O58" s="94">
        <f t="shared" si="14"/>
        <v>5800000</v>
      </c>
      <c r="P58" s="94">
        <f t="shared" si="15"/>
        <v>1000000</v>
      </c>
      <c r="Q58" s="94"/>
      <c r="R58" s="94">
        <v>6200000</v>
      </c>
      <c r="S58" s="94">
        <f t="shared" si="16"/>
        <v>6200000</v>
      </c>
      <c r="T58" s="94">
        <f t="shared" si="17"/>
        <v>0</v>
      </c>
      <c r="U58" s="94">
        <f t="shared" si="18"/>
        <v>0</v>
      </c>
      <c r="V58" s="88">
        <f t="shared" si="19"/>
        <v>0</v>
      </c>
      <c r="W58" s="88"/>
      <c r="X58" s="88"/>
      <c r="Y58" s="84"/>
      <c r="Z58" s="84">
        <v>742000</v>
      </c>
    </row>
    <row r="59" spans="1:32" s="92" customFormat="1" x14ac:dyDescent="0.25">
      <c r="A59" s="84">
        <f t="shared" si="9"/>
        <v>53</v>
      </c>
      <c r="B59" s="93">
        <v>1746</v>
      </c>
      <c r="C59" s="93" t="s">
        <v>47</v>
      </c>
      <c r="D59" s="94">
        <v>55000000</v>
      </c>
      <c r="E59" s="94">
        <v>8000000</v>
      </c>
      <c r="F59" s="94">
        <f t="shared" si="11"/>
        <v>47000000</v>
      </c>
      <c r="G59" s="94">
        <v>0</v>
      </c>
      <c r="H59" s="94">
        <v>0</v>
      </c>
      <c r="I59" s="94"/>
      <c r="J59" s="94"/>
      <c r="K59" s="94">
        <f t="shared" si="12"/>
        <v>0</v>
      </c>
      <c r="L59" s="94">
        <f t="shared" si="13"/>
        <v>0</v>
      </c>
      <c r="M59" s="94">
        <f t="shared" si="20"/>
        <v>0</v>
      </c>
      <c r="N59" s="94"/>
      <c r="O59" s="94">
        <f t="shared" si="14"/>
        <v>55000000</v>
      </c>
      <c r="P59" s="94">
        <f t="shared" si="15"/>
        <v>0</v>
      </c>
      <c r="Q59" s="94"/>
      <c r="R59" s="94"/>
      <c r="S59" s="94">
        <f t="shared" si="16"/>
        <v>0</v>
      </c>
      <c r="T59" s="94">
        <f t="shared" si="17"/>
        <v>0</v>
      </c>
      <c r="U59" s="94">
        <f t="shared" si="18"/>
        <v>0</v>
      </c>
      <c r="V59" s="94">
        <f t="shared" si="19"/>
        <v>0</v>
      </c>
      <c r="W59" s="94"/>
      <c r="X59" s="94"/>
      <c r="Y59" s="94"/>
      <c r="Z59" s="93">
        <v>742000</v>
      </c>
      <c r="AA59" s="95"/>
      <c r="AB59" s="95"/>
      <c r="AC59" s="95"/>
      <c r="AD59" s="95"/>
      <c r="AE59" s="95"/>
      <c r="AF59" s="95"/>
    </row>
    <row r="60" spans="1:32" s="92" customFormat="1" x14ac:dyDescent="0.25">
      <c r="A60" s="84">
        <f t="shared" si="9"/>
        <v>54</v>
      </c>
      <c r="B60" s="84">
        <v>1748</v>
      </c>
      <c r="C60" s="84" t="s">
        <v>67</v>
      </c>
      <c r="D60" s="94">
        <f>1000000-880000</f>
        <v>120000</v>
      </c>
      <c r="E60" s="88">
        <v>1000000</v>
      </c>
      <c r="F60" s="94">
        <f t="shared" si="11"/>
        <v>-880000</v>
      </c>
      <c r="G60" s="88">
        <v>300000</v>
      </c>
      <c r="H60" s="88">
        <v>53100</v>
      </c>
      <c r="I60" s="88">
        <v>5900</v>
      </c>
      <c r="J60" s="88">
        <v>29281</v>
      </c>
      <c r="K60" s="88">
        <f t="shared" si="12"/>
        <v>35181</v>
      </c>
      <c r="L60" s="88">
        <f t="shared" si="13"/>
        <v>88281</v>
      </c>
      <c r="M60" s="94">
        <f>P60+S60-180000</f>
        <v>31719</v>
      </c>
      <c r="N60" s="94"/>
      <c r="O60" s="94">
        <f t="shared" si="14"/>
        <v>0</v>
      </c>
      <c r="P60" s="94">
        <f t="shared" si="15"/>
        <v>211719</v>
      </c>
      <c r="Q60" s="94"/>
      <c r="R60" s="94"/>
      <c r="S60" s="94">
        <f t="shared" si="16"/>
        <v>0</v>
      </c>
      <c r="T60" s="94">
        <f t="shared" si="17"/>
        <v>180000</v>
      </c>
      <c r="U60" s="94">
        <f t="shared" si="18"/>
        <v>-180000</v>
      </c>
      <c r="V60" s="88">
        <f t="shared" si="19"/>
        <v>-180000</v>
      </c>
      <c r="W60" s="88"/>
      <c r="X60" s="88"/>
      <c r="Y60" s="84"/>
      <c r="Z60" s="84">
        <v>732000</v>
      </c>
      <c r="AA60" s="87"/>
      <c r="AB60" s="87"/>
      <c r="AC60" s="87"/>
      <c r="AD60" s="87"/>
      <c r="AE60" s="87"/>
      <c r="AF60" s="87"/>
    </row>
    <row r="61" spans="1:32" s="87" customFormat="1" x14ac:dyDescent="0.25">
      <c r="A61" s="84">
        <f t="shared" si="9"/>
        <v>55</v>
      </c>
      <c r="B61" s="84">
        <v>1754</v>
      </c>
      <c r="C61" s="84" t="s">
        <v>36</v>
      </c>
      <c r="D61" s="94">
        <v>300000</v>
      </c>
      <c r="E61" s="88">
        <v>300000</v>
      </c>
      <c r="F61" s="94">
        <f t="shared" si="11"/>
        <v>0</v>
      </c>
      <c r="G61" s="88">
        <v>300000</v>
      </c>
      <c r="H61" s="88">
        <v>0</v>
      </c>
      <c r="I61" s="88"/>
      <c r="J61" s="88"/>
      <c r="K61" s="88">
        <f t="shared" si="12"/>
        <v>0</v>
      </c>
      <c r="L61" s="88">
        <f t="shared" si="13"/>
        <v>0</v>
      </c>
      <c r="M61" s="94">
        <f t="shared" ref="M61:M70" si="21">P61+S61</f>
        <v>300000</v>
      </c>
      <c r="N61" s="94"/>
      <c r="O61" s="94">
        <f t="shared" si="14"/>
        <v>0</v>
      </c>
      <c r="P61" s="94">
        <f t="shared" si="15"/>
        <v>300000</v>
      </c>
      <c r="Q61" s="94"/>
      <c r="R61" s="94"/>
      <c r="S61" s="94">
        <f t="shared" si="16"/>
        <v>0</v>
      </c>
      <c r="T61" s="94">
        <f t="shared" si="17"/>
        <v>0</v>
      </c>
      <c r="U61" s="94">
        <f t="shared" si="18"/>
        <v>0</v>
      </c>
      <c r="V61" s="88">
        <f t="shared" si="19"/>
        <v>0</v>
      </c>
      <c r="W61" s="88"/>
      <c r="X61" s="88"/>
      <c r="Y61" s="84"/>
      <c r="Z61" s="84">
        <v>742000</v>
      </c>
    </row>
    <row r="62" spans="1:32" s="87" customFormat="1" x14ac:dyDescent="0.25">
      <c r="A62" s="84">
        <f t="shared" si="9"/>
        <v>56</v>
      </c>
      <c r="B62" s="84">
        <v>1804</v>
      </c>
      <c r="C62" s="84" t="s">
        <v>282</v>
      </c>
      <c r="D62" s="94">
        <v>200000</v>
      </c>
      <c r="E62" s="88">
        <v>200000</v>
      </c>
      <c r="F62" s="88">
        <f t="shared" si="11"/>
        <v>0</v>
      </c>
      <c r="G62" s="88">
        <v>200000</v>
      </c>
      <c r="H62" s="88">
        <v>0</v>
      </c>
      <c r="I62" s="88"/>
      <c r="J62" s="88"/>
      <c r="K62" s="88">
        <f t="shared" si="12"/>
        <v>0</v>
      </c>
      <c r="L62" s="88">
        <f t="shared" si="13"/>
        <v>0</v>
      </c>
      <c r="M62" s="94">
        <f t="shared" si="21"/>
        <v>200000</v>
      </c>
      <c r="N62" s="94"/>
      <c r="O62" s="94">
        <f t="shared" si="14"/>
        <v>0</v>
      </c>
      <c r="P62" s="94">
        <f t="shared" si="15"/>
        <v>200000</v>
      </c>
      <c r="Q62" s="94"/>
      <c r="R62" s="94"/>
      <c r="S62" s="94">
        <f t="shared" si="16"/>
        <v>0</v>
      </c>
      <c r="T62" s="94">
        <f t="shared" si="17"/>
        <v>0</v>
      </c>
      <c r="U62" s="94">
        <f t="shared" si="18"/>
        <v>0</v>
      </c>
      <c r="V62" s="88">
        <f t="shared" si="19"/>
        <v>0</v>
      </c>
      <c r="W62" s="88"/>
      <c r="X62" s="88"/>
      <c r="Y62" s="84"/>
      <c r="Z62" s="84">
        <v>742000</v>
      </c>
    </row>
    <row r="63" spans="1:32" s="92" customFormat="1" x14ac:dyDescent="0.25">
      <c r="A63" s="84">
        <f t="shared" si="9"/>
        <v>57</v>
      </c>
      <c r="B63" s="84">
        <v>1805</v>
      </c>
      <c r="C63" s="84" t="s">
        <v>283</v>
      </c>
      <c r="D63" s="94">
        <v>1000000</v>
      </c>
      <c r="E63" s="88">
        <v>1000000</v>
      </c>
      <c r="F63" s="94">
        <f t="shared" si="11"/>
        <v>0</v>
      </c>
      <c r="G63" s="88">
        <v>1000000</v>
      </c>
      <c r="H63" s="88">
        <v>0</v>
      </c>
      <c r="I63" s="88">
        <v>2676.96</v>
      </c>
      <c r="J63" s="88"/>
      <c r="K63" s="88">
        <f t="shared" si="12"/>
        <v>2676.96</v>
      </c>
      <c r="L63" s="88">
        <f t="shared" si="13"/>
        <v>2676.96</v>
      </c>
      <c r="M63" s="94">
        <f t="shared" si="21"/>
        <v>997323.04</v>
      </c>
      <c r="N63" s="94"/>
      <c r="O63" s="94">
        <f t="shared" si="14"/>
        <v>0</v>
      </c>
      <c r="P63" s="94">
        <f t="shared" si="15"/>
        <v>997323.04</v>
      </c>
      <c r="Q63" s="94"/>
      <c r="R63" s="94"/>
      <c r="S63" s="94">
        <f t="shared" si="16"/>
        <v>0</v>
      </c>
      <c r="T63" s="94">
        <f t="shared" si="17"/>
        <v>0</v>
      </c>
      <c r="U63" s="94">
        <f t="shared" si="18"/>
        <v>0</v>
      </c>
      <c r="V63" s="88">
        <f t="shared" si="19"/>
        <v>0</v>
      </c>
      <c r="W63" s="88"/>
      <c r="X63" s="88"/>
      <c r="Y63" s="88"/>
      <c r="Z63" s="84">
        <v>742000</v>
      </c>
      <c r="AA63" s="87"/>
      <c r="AB63" s="87"/>
      <c r="AC63" s="87"/>
      <c r="AD63" s="87"/>
      <c r="AE63" s="87"/>
      <c r="AF63" s="87"/>
    </row>
    <row r="64" spans="1:32" s="92" customFormat="1" x14ac:dyDescent="0.25">
      <c r="A64" s="84">
        <f t="shared" si="9"/>
        <v>58</v>
      </c>
      <c r="B64" s="84">
        <v>1812</v>
      </c>
      <c r="C64" s="84" t="s">
        <v>285</v>
      </c>
      <c r="D64" s="94">
        <f>900000</f>
        <v>900000</v>
      </c>
      <c r="E64" s="88">
        <v>900000</v>
      </c>
      <c r="F64" s="88">
        <f t="shared" si="11"/>
        <v>0</v>
      </c>
      <c r="G64" s="88">
        <v>900000</v>
      </c>
      <c r="H64" s="88">
        <v>0</v>
      </c>
      <c r="I64" s="88">
        <v>29250</v>
      </c>
      <c r="J64" s="88"/>
      <c r="K64" s="88">
        <f t="shared" si="12"/>
        <v>29250</v>
      </c>
      <c r="L64" s="88">
        <f t="shared" si="13"/>
        <v>29250</v>
      </c>
      <c r="M64" s="94">
        <f>P64+S64-670000</f>
        <v>200750</v>
      </c>
      <c r="N64" s="94"/>
      <c r="O64" s="94">
        <f t="shared" si="14"/>
        <v>670000</v>
      </c>
      <c r="P64" s="94">
        <f t="shared" si="15"/>
        <v>870750</v>
      </c>
      <c r="Q64" s="94"/>
      <c r="R64" s="94"/>
      <c r="S64" s="94">
        <f t="shared" si="16"/>
        <v>0</v>
      </c>
      <c r="T64" s="94">
        <f t="shared" si="17"/>
        <v>670000</v>
      </c>
      <c r="U64" s="94">
        <f t="shared" si="18"/>
        <v>-670000</v>
      </c>
      <c r="V64" s="88">
        <f t="shared" si="19"/>
        <v>-670000</v>
      </c>
      <c r="W64" s="88"/>
      <c r="X64" s="88"/>
      <c r="Y64" s="88"/>
      <c r="Z64" s="84">
        <v>746000</v>
      </c>
      <c r="AA64" s="87"/>
      <c r="AB64" s="87"/>
      <c r="AC64" s="87"/>
      <c r="AD64" s="87"/>
      <c r="AE64" s="87"/>
      <c r="AF64" s="87"/>
    </row>
    <row r="65" spans="1:32" s="95" customFormat="1" x14ac:dyDescent="0.25">
      <c r="A65" s="84">
        <f t="shared" si="9"/>
        <v>59</v>
      </c>
      <c r="B65" s="84">
        <v>1814</v>
      </c>
      <c r="C65" s="84" t="s">
        <v>286</v>
      </c>
      <c r="D65" s="94">
        <v>250000</v>
      </c>
      <c r="E65" s="88">
        <v>250000</v>
      </c>
      <c r="F65" s="94">
        <f t="shared" si="11"/>
        <v>0</v>
      </c>
      <c r="G65" s="88">
        <v>250000</v>
      </c>
      <c r="H65" s="88">
        <v>0</v>
      </c>
      <c r="I65" s="88"/>
      <c r="J65" s="88"/>
      <c r="K65" s="88">
        <f t="shared" si="12"/>
        <v>0</v>
      </c>
      <c r="L65" s="88">
        <f t="shared" si="13"/>
        <v>0</v>
      </c>
      <c r="M65" s="94">
        <f t="shared" si="21"/>
        <v>250000</v>
      </c>
      <c r="N65" s="94"/>
      <c r="O65" s="94">
        <f t="shared" si="14"/>
        <v>0</v>
      </c>
      <c r="P65" s="94">
        <f t="shared" si="15"/>
        <v>250000</v>
      </c>
      <c r="Q65" s="94"/>
      <c r="R65" s="94"/>
      <c r="S65" s="94">
        <f t="shared" si="16"/>
        <v>0</v>
      </c>
      <c r="T65" s="94">
        <f t="shared" si="17"/>
        <v>0</v>
      </c>
      <c r="U65" s="94">
        <f t="shared" si="18"/>
        <v>0</v>
      </c>
      <c r="V65" s="88">
        <f t="shared" si="19"/>
        <v>0</v>
      </c>
      <c r="W65" s="88"/>
      <c r="X65" s="88"/>
      <c r="Y65" s="84"/>
      <c r="Z65" s="84">
        <v>742000</v>
      </c>
      <c r="AA65" s="87"/>
      <c r="AB65" s="92"/>
      <c r="AC65" s="92"/>
      <c r="AD65" s="92"/>
      <c r="AE65" s="92"/>
      <c r="AF65" s="92"/>
    </row>
    <row r="66" spans="1:32" s="92" customFormat="1" x14ac:dyDescent="0.25">
      <c r="A66" s="84">
        <f t="shared" si="9"/>
        <v>60</v>
      </c>
      <c r="B66" s="84">
        <v>1820</v>
      </c>
      <c r="C66" s="84" t="s">
        <v>324</v>
      </c>
      <c r="D66" s="94">
        <f>200000+1800000</f>
        <v>2000000</v>
      </c>
      <c r="E66" s="88">
        <v>200000</v>
      </c>
      <c r="F66" s="94">
        <f t="shared" si="11"/>
        <v>1800000</v>
      </c>
      <c r="G66" s="88">
        <v>200000</v>
      </c>
      <c r="H66" s="88">
        <v>0</v>
      </c>
      <c r="I66" s="88"/>
      <c r="J66" s="88"/>
      <c r="K66" s="88">
        <f t="shared" si="12"/>
        <v>0</v>
      </c>
      <c r="L66" s="88">
        <f t="shared" si="13"/>
        <v>0</v>
      </c>
      <c r="M66" s="94">
        <f t="shared" si="21"/>
        <v>200000</v>
      </c>
      <c r="N66" s="94"/>
      <c r="O66" s="94">
        <f t="shared" si="14"/>
        <v>1800000</v>
      </c>
      <c r="P66" s="94">
        <f t="shared" si="15"/>
        <v>200000</v>
      </c>
      <c r="Q66" s="94"/>
      <c r="R66" s="94"/>
      <c r="S66" s="94">
        <f t="shared" si="16"/>
        <v>0</v>
      </c>
      <c r="T66" s="94">
        <f t="shared" si="17"/>
        <v>0</v>
      </c>
      <c r="U66" s="94">
        <f t="shared" si="18"/>
        <v>0</v>
      </c>
      <c r="V66" s="88">
        <f t="shared" si="19"/>
        <v>0</v>
      </c>
      <c r="W66" s="88"/>
      <c r="X66" s="88"/>
      <c r="Y66" s="84"/>
      <c r="Z66" s="84">
        <v>742000</v>
      </c>
      <c r="AA66" s="87"/>
      <c r="AB66" s="87"/>
      <c r="AC66" s="87"/>
      <c r="AD66" s="87"/>
      <c r="AE66" s="87"/>
      <c r="AF66" s="87"/>
    </row>
    <row r="67" spans="1:32" s="87" customFormat="1" x14ac:dyDescent="0.25">
      <c r="A67" s="84">
        <f t="shared" si="9"/>
        <v>61</v>
      </c>
      <c r="B67" s="84">
        <v>1826</v>
      </c>
      <c r="C67" s="84" t="s">
        <v>306</v>
      </c>
      <c r="D67" s="94">
        <v>1500000</v>
      </c>
      <c r="E67" s="88">
        <v>1500000</v>
      </c>
      <c r="F67" s="88"/>
      <c r="G67" s="88">
        <v>200000</v>
      </c>
      <c r="H67" s="88">
        <v>0</v>
      </c>
      <c r="I67" s="88">
        <v>11756.75</v>
      </c>
      <c r="J67" s="88"/>
      <c r="K67" s="88">
        <f t="shared" si="12"/>
        <v>11756.75</v>
      </c>
      <c r="L67" s="88">
        <f t="shared" si="13"/>
        <v>11756.75</v>
      </c>
      <c r="M67" s="94">
        <f t="shared" si="21"/>
        <v>188243.25</v>
      </c>
      <c r="N67" s="94"/>
      <c r="O67" s="94">
        <f t="shared" si="14"/>
        <v>1300000</v>
      </c>
      <c r="P67" s="94">
        <f t="shared" si="15"/>
        <v>188243.25</v>
      </c>
      <c r="Q67" s="94"/>
      <c r="R67" s="94"/>
      <c r="S67" s="94">
        <f t="shared" si="16"/>
        <v>0</v>
      </c>
      <c r="T67" s="94">
        <f t="shared" si="17"/>
        <v>0</v>
      </c>
      <c r="U67" s="94">
        <f t="shared" si="18"/>
        <v>0</v>
      </c>
      <c r="V67" s="88">
        <f t="shared" si="19"/>
        <v>0</v>
      </c>
      <c r="W67" s="88"/>
      <c r="X67" s="88"/>
      <c r="Y67" s="84"/>
      <c r="Z67" s="84">
        <v>742000</v>
      </c>
      <c r="AB67" s="92"/>
      <c r="AC67" s="92"/>
      <c r="AD67" s="92"/>
      <c r="AE67" s="92"/>
      <c r="AF67" s="92"/>
    </row>
    <row r="68" spans="1:32" s="87" customFormat="1" x14ac:dyDescent="0.25">
      <c r="A68" s="84">
        <f t="shared" si="9"/>
        <v>62</v>
      </c>
      <c r="B68" s="84">
        <v>1872</v>
      </c>
      <c r="C68" s="84" t="s">
        <v>323</v>
      </c>
      <c r="D68" s="94">
        <v>1160000</v>
      </c>
      <c r="E68" s="88">
        <v>1160000</v>
      </c>
      <c r="F68" s="88"/>
      <c r="G68" s="88">
        <f>741002+418998</f>
        <v>1160000</v>
      </c>
      <c r="H68" s="88">
        <v>0</v>
      </c>
      <c r="I68" s="88">
        <v>552115</v>
      </c>
      <c r="J68" s="88"/>
      <c r="K68" s="88">
        <f>SUM(I68:J68)</f>
        <v>552115</v>
      </c>
      <c r="L68" s="88">
        <f>H68+K68</f>
        <v>552115</v>
      </c>
      <c r="M68" s="94">
        <f t="shared" si="21"/>
        <v>607885</v>
      </c>
      <c r="N68" s="94"/>
      <c r="O68" s="94">
        <f>D68-L68-M68-N68</f>
        <v>0</v>
      </c>
      <c r="P68" s="94">
        <f t="shared" si="15"/>
        <v>607885</v>
      </c>
      <c r="Q68" s="94"/>
      <c r="R68" s="94"/>
      <c r="S68" s="94">
        <f>SUM(Q68:R68)</f>
        <v>0</v>
      </c>
      <c r="T68" s="94">
        <f>P68-M68+S68</f>
        <v>0</v>
      </c>
      <c r="U68" s="94">
        <f>N68-T68</f>
        <v>0</v>
      </c>
      <c r="V68" s="88">
        <f>U68-Y68-W68-X68</f>
        <v>0</v>
      </c>
      <c r="W68" s="88"/>
      <c r="X68" s="88"/>
      <c r="Y68" s="84"/>
      <c r="Z68" s="84">
        <v>742000</v>
      </c>
    </row>
    <row r="69" spans="1:32" s="95" customFormat="1" x14ac:dyDescent="0.25">
      <c r="A69" s="84">
        <f t="shared" si="9"/>
        <v>63</v>
      </c>
      <c r="B69" s="93">
        <v>1882</v>
      </c>
      <c r="C69" s="93" t="s">
        <v>316</v>
      </c>
      <c r="D69" s="94">
        <v>14300000</v>
      </c>
      <c r="E69" s="94">
        <v>14300000</v>
      </c>
      <c r="F69" s="94">
        <f>D69-E69</f>
        <v>0</v>
      </c>
      <c r="G69" s="94">
        <v>500000</v>
      </c>
      <c r="H69" s="94">
        <v>0</v>
      </c>
      <c r="I69" s="94"/>
      <c r="J69" s="94"/>
      <c r="K69" s="94">
        <f>SUM(I69:J69)</f>
        <v>0</v>
      </c>
      <c r="L69" s="94">
        <f>H69+K69</f>
        <v>0</v>
      </c>
      <c r="M69" s="94">
        <f>P69+S69-300000</f>
        <v>200000</v>
      </c>
      <c r="N69" s="94"/>
      <c r="O69" s="94">
        <f>D69-L69-M69-N69</f>
        <v>14100000</v>
      </c>
      <c r="P69" s="94">
        <f t="shared" si="15"/>
        <v>500000</v>
      </c>
      <c r="Q69" s="94"/>
      <c r="R69" s="94"/>
      <c r="S69" s="94">
        <f>SUM(Q69:R69)</f>
        <v>0</v>
      </c>
      <c r="T69" s="94">
        <f>P69-M69+S69</f>
        <v>300000</v>
      </c>
      <c r="U69" s="94">
        <f>N69-T69</f>
        <v>-300000</v>
      </c>
      <c r="V69" s="94">
        <f>U69-Y69-W69-X69</f>
        <v>-300000</v>
      </c>
      <c r="W69" s="94"/>
      <c r="X69" s="94"/>
      <c r="Y69" s="93"/>
      <c r="Z69" s="93">
        <v>742000</v>
      </c>
      <c r="AD69" s="251"/>
    </row>
    <row r="70" spans="1:32" s="95" customFormat="1" x14ac:dyDescent="0.25">
      <c r="A70" s="84">
        <f t="shared" si="9"/>
        <v>64</v>
      </c>
      <c r="B70" s="93">
        <v>1935</v>
      </c>
      <c r="C70" s="93" t="s">
        <v>431</v>
      </c>
      <c r="D70" s="94">
        <f>1000000+200000</f>
        <v>1200000</v>
      </c>
      <c r="E70" s="94">
        <v>1000000</v>
      </c>
      <c r="F70" s="94">
        <f>D70-E70</f>
        <v>200000</v>
      </c>
      <c r="G70" s="94"/>
      <c r="H70" s="94"/>
      <c r="I70" s="94"/>
      <c r="J70" s="94"/>
      <c r="K70" s="94"/>
      <c r="L70" s="94"/>
      <c r="M70" s="94">
        <f t="shared" si="21"/>
        <v>1000000</v>
      </c>
      <c r="N70" s="94">
        <v>200000</v>
      </c>
      <c r="O70" s="94"/>
      <c r="P70" s="94"/>
      <c r="Q70" s="94"/>
      <c r="R70" s="94">
        <v>1000000</v>
      </c>
      <c r="S70" s="94">
        <f>SUM(Q70:R70)</f>
        <v>1000000</v>
      </c>
      <c r="T70" s="94"/>
      <c r="U70" s="94">
        <f>N70-T70</f>
        <v>200000</v>
      </c>
      <c r="V70" s="94">
        <f>U70-Y70-W70-X70</f>
        <v>200000</v>
      </c>
      <c r="W70" s="94"/>
      <c r="X70" s="94"/>
      <c r="Y70" s="94"/>
      <c r="Z70" s="93">
        <v>930000</v>
      </c>
      <c r="AD70" s="251"/>
    </row>
    <row r="71" spans="1:32" s="95" customFormat="1" x14ac:dyDescent="0.25">
      <c r="A71" s="84">
        <f>A70+1</f>
        <v>65</v>
      </c>
      <c r="B71" s="93">
        <v>1943</v>
      </c>
      <c r="C71" s="93" t="s">
        <v>545</v>
      </c>
      <c r="D71" s="94">
        <f>5500000-2000000</f>
        <v>3500000</v>
      </c>
      <c r="E71" s="94">
        <v>2500000</v>
      </c>
      <c r="F71" s="94">
        <f>D71-E71</f>
        <v>1000000</v>
      </c>
      <c r="G71" s="94"/>
      <c r="H71" s="94"/>
      <c r="I71" s="94"/>
      <c r="J71" s="94"/>
      <c r="K71" s="94"/>
      <c r="L71" s="94"/>
      <c r="M71" s="94">
        <f>P71+S71</f>
        <v>2500000</v>
      </c>
      <c r="N71" s="94"/>
      <c r="O71" s="94">
        <f>D71-L71-M71-N71</f>
        <v>1000000</v>
      </c>
      <c r="P71" s="94">
        <f>G71-L71</f>
        <v>0</v>
      </c>
      <c r="Q71" s="94"/>
      <c r="R71" s="94">
        <v>2500000</v>
      </c>
      <c r="S71" s="94">
        <f>SUM(Q71:R71)</f>
        <v>2500000</v>
      </c>
      <c r="T71" s="94"/>
      <c r="U71" s="94">
        <f>N71-T71</f>
        <v>0</v>
      </c>
      <c r="V71" s="88">
        <f>U71-Y71-W71-X71</f>
        <v>0</v>
      </c>
      <c r="W71" s="94"/>
      <c r="X71" s="94"/>
      <c r="Y71" s="93"/>
      <c r="Z71" s="93">
        <v>744000</v>
      </c>
      <c r="AD71" s="251"/>
    </row>
    <row r="72" spans="1:32" s="87" customFormat="1" x14ac:dyDescent="0.25">
      <c r="A72" s="84">
        <f>A71+1</f>
        <v>66</v>
      </c>
      <c r="B72" s="93">
        <v>1949</v>
      </c>
      <c r="C72" s="93" t="s">
        <v>433</v>
      </c>
      <c r="D72" s="94">
        <v>1000000</v>
      </c>
      <c r="E72" s="94"/>
      <c r="F72" s="94">
        <f>D72-E72</f>
        <v>1000000</v>
      </c>
      <c r="G72" s="94"/>
      <c r="H72" s="94"/>
      <c r="I72" s="94"/>
      <c r="J72" s="94"/>
      <c r="K72" s="94"/>
      <c r="L72" s="94"/>
      <c r="M72" s="94"/>
      <c r="N72" s="94">
        <v>500000</v>
      </c>
      <c r="O72" s="94">
        <f>D72-L72-M72-N72</f>
        <v>500000</v>
      </c>
      <c r="P72" s="94"/>
      <c r="Q72" s="94"/>
      <c r="R72" s="94"/>
      <c r="S72" s="94"/>
      <c r="T72" s="94"/>
      <c r="U72" s="94">
        <f>N72-T72</f>
        <v>500000</v>
      </c>
      <c r="V72" s="94">
        <f>U72-Y72-W72-X72</f>
        <v>0</v>
      </c>
      <c r="W72" s="94"/>
      <c r="X72" s="94"/>
      <c r="Y72" s="94">
        <v>500000</v>
      </c>
      <c r="Z72" s="93">
        <v>732000</v>
      </c>
      <c r="AA72" s="95"/>
      <c r="AB72" s="95"/>
      <c r="AC72" s="95"/>
      <c r="AD72" s="95"/>
      <c r="AE72" s="95"/>
      <c r="AF72" s="95"/>
    </row>
    <row r="73" spans="1:32" s="92" customFormat="1" x14ac:dyDescent="0.25">
      <c r="A73" s="90"/>
      <c r="B73" s="108"/>
      <c r="C73" s="108" t="s">
        <v>609</v>
      </c>
      <c r="D73" s="160">
        <f t="shared" ref="D73:Y73" si="22">SUM(D7:D72)</f>
        <v>639830769</v>
      </c>
      <c r="E73" s="160">
        <f t="shared" si="22"/>
        <v>545896468</v>
      </c>
      <c r="F73" s="160">
        <f t="shared" si="22"/>
        <v>93934301</v>
      </c>
      <c r="G73" s="160">
        <f t="shared" si="22"/>
        <v>374308859</v>
      </c>
      <c r="H73" s="160">
        <f t="shared" si="22"/>
        <v>312589649.34999996</v>
      </c>
      <c r="I73" s="160">
        <f t="shared" si="22"/>
        <v>7841228.0999999987</v>
      </c>
      <c r="J73" s="160">
        <f t="shared" si="22"/>
        <v>5635414.370000001</v>
      </c>
      <c r="K73" s="160">
        <f t="shared" si="22"/>
        <v>13476642.470000001</v>
      </c>
      <c r="L73" s="160">
        <f t="shared" si="22"/>
        <v>326066291.81999993</v>
      </c>
      <c r="M73" s="160">
        <f t="shared" si="22"/>
        <v>50625567.180000007</v>
      </c>
      <c r="N73" s="160">
        <f t="shared" si="22"/>
        <v>29977931</v>
      </c>
      <c r="O73" s="160">
        <f t="shared" si="22"/>
        <v>233160979</v>
      </c>
      <c r="P73" s="160">
        <f t="shared" si="22"/>
        <v>48242567.18</v>
      </c>
      <c r="Q73" s="160">
        <f t="shared" si="22"/>
        <v>6415000</v>
      </c>
      <c r="R73" s="160">
        <f t="shared" si="22"/>
        <v>9700000</v>
      </c>
      <c r="S73" s="160">
        <f t="shared" si="22"/>
        <v>16115000</v>
      </c>
      <c r="T73" s="160">
        <f t="shared" si="22"/>
        <v>13732000</v>
      </c>
      <c r="U73" s="160">
        <f t="shared" si="22"/>
        <v>16245931</v>
      </c>
      <c r="V73" s="160">
        <f t="shared" si="22"/>
        <v>-15272000</v>
      </c>
      <c r="W73" s="160">
        <f t="shared" si="22"/>
        <v>0</v>
      </c>
      <c r="X73" s="160">
        <f t="shared" si="22"/>
        <v>0</v>
      </c>
      <c r="Y73" s="160">
        <f t="shared" si="22"/>
        <v>31517931</v>
      </c>
      <c r="Z73" s="108"/>
      <c r="AA73" s="97"/>
      <c r="AB73" s="97"/>
      <c r="AC73" s="97"/>
      <c r="AD73" s="97"/>
      <c r="AE73" s="97"/>
      <c r="AF73" s="97"/>
    </row>
    <row r="74" spans="1:32" s="87" customFormat="1" x14ac:dyDescent="0.25">
      <c r="A74" s="84"/>
      <c r="B74" s="84"/>
      <c r="C74" s="84"/>
      <c r="D74" s="94"/>
      <c r="E74" s="88"/>
      <c r="F74" s="88"/>
      <c r="G74" s="88"/>
      <c r="H74" s="88"/>
      <c r="I74" s="88"/>
      <c r="J74" s="88"/>
      <c r="K74" s="88"/>
      <c r="L74" s="88"/>
      <c r="M74" s="94"/>
      <c r="N74" s="94"/>
      <c r="O74" s="94"/>
      <c r="P74" s="94"/>
      <c r="Q74" s="94"/>
      <c r="R74" s="94"/>
      <c r="S74" s="94"/>
      <c r="T74" s="94"/>
      <c r="U74" s="94"/>
      <c r="V74" s="88"/>
      <c r="W74" s="88"/>
      <c r="X74" s="88"/>
      <c r="Y74" s="88"/>
      <c r="Z74" s="84"/>
    </row>
    <row r="75" spans="1:32" s="87" customFormat="1" x14ac:dyDescent="0.25">
      <c r="A75" s="84"/>
      <c r="B75" s="84"/>
      <c r="C75" s="90" t="s">
        <v>434</v>
      </c>
      <c r="D75" s="94"/>
      <c r="E75" s="88"/>
      <c r="F75" s="88"/>
      <c r="G75" s="88"/>
      <c r="H75" s="88"/>
      <c r="I75" s="88"/>
      <c r="J75" s="88"/>
      <c r="K75" s="88"/>
      <c r="L75" s="88"/>
      <c r="M75" s="94"/>
      <c r="N75" s="94"/>
      <c r="O75" s="94"/>
      <c r="P75" s="94"/>
      <c r="Q75" s="94"/>
      <c r="R75" s="94"/>
      <c r="S75" s="94"/>
      <c r="T75" s="94"/>
      <c r="U75" s="94"/>
      <c r="V75" s="88"/>
      <c r="W75" s="88"/>
      <c r="X75" s="88"/>
      <c r="Y75" s="84"/>
      <c r="Z75" s="84"/>
    </row>
    <row r="76" spans="1:32" s="87" customFormat="1" x14ac:dyDescent="0.25">
      <c r="A76" s="84">
        <f>A72+1</f>
        <v>67</v>
      </c>
      <c r="B76" s="84">
        <v>580</v>
      </c>
      <c r="C76" s="84" t="s">
        <v>17</v>
      </c>
      <c r="D76" s="94">
        <f>1700000-51000</f>
        <v>1649000</v>
      </c>
      <c r="E76" s="88">
        <v>1700000</v>
      </c>
      <c r="F76" s="88">
        <f t="shared" ref="F76:F94" si="23">D76-E76</f>
        <v>-51000</v>
      </c>
      <c r="G76" s="88">
        <v>1700000</v>
      </c>
      <c r="H76" s="88">
        <v>1583332.35</v>
      </c>
      <c r="I76" s="88">
        <v>47168.6</v>
      </c>
      <c r="J76" s="88">
        <v>17601.87</v>
      </c>
      <c r="K76" s="88">
        <f t="shared" ref="K76:K96" si="24">SUM(I76:J76)</f>
        <v>64770.47</v>
      </c>
      <c r="L76" s="88">
        <f t="shared" ref="L76:L96" si="25">H76+K76</f>
        <v>1648102.82</v>
      </c>
      <c r="M76" s="94">
        <f>P76+S76-51000</f>
        <v>897.17999999993481</v>
      </c>
      <c r="N76" s="94"/>
      <c r="O76" s="94">
        <f t="shared" ref="O76:O100" si="26">D76-L76-M76-N76</f>
        <v>0</v>
      </c>
      <c r="P76" s="94">
        <f t="shared" ref="P76:P96" si="27">G76-L76</f>
        <v>51897.179999999935</v>
      </c>
      <c r="Q76" s="94"/>
      <c r="R76" s="94"/>
      <c r="S76" s="94">
        <f t="shared" ref="S76:S100" si="28">SUM(Q76:R76)</f>
        <v>0</v>
      </c>
      <c r="T76" s="94">
        <f t="shared" ref="T76:T96" si="29">P76-M76+S76</f>
        <v>51000</v>
      </c>
      <c r="U76" s="94">
        <f t="shared" ref="U76:U100" si="30">N76-T76</f>
        <v>-51000</v>
      </c>
      <c r="V76" s="88">
        <f t="shared" ref="V76:V100" si="31">U76-Y76-W76-X76</f>
        <v>-51000</v>
      </c>
      <c r="W76" s="88"/>
      <c r="X76" s="88"/>
      <c r="Y76" s="84"/>
      <c r="Z76" s="84">
        <v>732000</v>
      </c>
    </row>
    <row r="77" spans="1:32" s="87" customFormat="1" x14ac:dyDescent="0.25">
      <c r="A77" s="84">
        <f t="shared" ref="A77:A100" si="32">A76+1</f>
        <v>68</v>
      </c>
      <c r="B77" s="84">
        <v>609</v>
      </c>
      <c r="C77" s="84" t="s">
        <v>18</v>
      </c>
      <c r="D77" s="94">
        <f>1365000-132000</f>
        <v>1233000</v>
      </c>
      <c r="E77" s="88">
        <v>1365000</v>
      </c>
      <c r="F77" s="88">
        <f t="shared" si="23"/>
        <v>-132000</v>
      </c>
      <c r="G77" s="88">
        <v>1285000</v>
      </c>
      <c r="H77" s="88">
        <v>1227215.69</v>
      </c>
      <c r="I77" s="88">
        <v>5200</v>
      </c>
      <c r="J77" s="88"/>
      <c r="K77" s="88">
        <f t="shared" si="24"/>
        <v>5200</v>
      </c>
      <c r="L77" s="88">
        <f t="shared" si="25"/>
        <v>1232415.69</v>
      </c>
      <c r="M77" s="94">
        <f>P77+S77-52000</f>
        <v>584.31000000005588</v>
      </c>
      <c r="N77" s="94"/>
      <c r="O77" s="94">
        <f t="shared" si="26"/>
        <v>0</v>
      </c>
      <c r="P77" s="94">
        <f t="shared" si="27"/>
        <v>52584.310000000056</v>
      </c>
      <c r="Q77" s="94"/>
      <c r="R77" s="94"/>
      <c r="S77" s="94">
        <f t="shared" si="28"/>
        <v>0</v>
      </c>
      <c r="T77" s="94">
        <f t="shared" si="29"/>
        <v>52000</v>
      </c>
      <c r="U77" s="94">
        <f t="shared" si="30"/>
        <v>-52000</v>
      </c>
      <c r="V77" s="88">
        <f t="shared" si="31"/>
        <v>-52000</v>
      </c>
      <c r="W77" s="88"/>
      <c r="X77" s="88"/>
      <c r="Y77" s="84"/>
      <c r="Z77" s="84">
        <v>732000</v>
      </c>
    </row>
    <row r="78" spans="1:32" s="87" customFormat="1" x14ac:dyDescent="0.25">
      <c r="A78" s="84">
        <f t="shared" si="32"/>
        <v>69</v>
      </c>
      <c r="B78" s="84">
        <v>1100</v>
      </c>
      <c r="C78" s="84" t="s">
        <v>19</v>
      </c>
      <c r="D78" s="94">
        <v>7000000</v>
      </c>
      <c r="E78" s="88">
        <v>7000000</v>
      </c>
      <c r="F78" s="88">
        <f t="shared" si="23"/>
        <v>0</v>
      </c>
      <c r="G78" s="88">
        <v>5100000</v>
      </c>
      <c r="H78" s="88">
        <v>2267178</v>
      </c>
      <c r="I78" s="88">
        <v>157268.72</v>
      </c>
      <c r="J78" s="88">
        <v>1387976.52</v>
      </c>
      <c r="K78" s="88">
        <f t="shared" si="24"/>
        <v>1545245.24</v>
      </c>
      <c r="L78" s="88">
        <f t="shared" si="25"/>
        <v>3812423.24</v>
      </c>
      <c r="M78" s="94">
        <f t="shared" ref="M78:M100" si="33">P78+S78</f>
        <v>1287576.7599999998</v>
      </c>
      <c r="N78" s="94">
        <v>600000</v>
      </c>
      <c r="O78" s="94">
        <f t="shared" si="26"/>
        <v>1300000</v>
      </c>
      <c r="P78" s="94">
        <f t="shared" si="27"/>
        <v>1287576.7599999998</v>
      </c>
      <c r="Q78" s="94"/>
      <c r="R78" s="94"/>
      <c r="S78" s="94">
        <f t="shared" si="28"/>
        <v>0</v>
      </c>
      <c r="T78" s="94">
        <f t="shared" si="29"/>
        <v>0</v>
      </c>
      <c r="U78" s="94">
        <f t="shared" si="30"/>
        <v>600000</v>
      </c>
      <c r="V78" s="88">
        <f t="shared" si="31"/>
        <v>600000</v>
      </c>
      <c r="W78" s="88"/>
      <c r="X78" s="88"/>
      <c r="Y78" s="84"/>
      <c r="Z78" s="84">
        <v>732000</v>
      </c>
    </row>
    <row r="79" spans="1:32" s="92" customFormat="1" x14ac:dyDescent="0.25">
      <c r="A79" s="84">
        <f t="shared" si="32"/>
        <v>70</v>
      </c>
      <c r="B79" s="84">
        <v>1326</v>
      </c>
      <c r="C79" s="84" t="s">
        <v>20</v>
      </c>
      <c r="D79" s="94">
        <f>300000</f>
        <v>300000</v>
      </c>
      <c r="E79" s="88">
        <v>300000</v>
      </c>
      <c r="F79" s="88">
        <f t="shared" si="23"/>
        <v>0</v>
      </c>
      <c r="G79" s="88">
        <v>300000</v>
      </c>
      <c r="H79" s="88">
        <v>51468.25</v>
      </c>
      <c r="I79" s="88">
        <v>140229.28</v>
      </c>
      <c r="J79" s="88"/>
      <c r="K79" s="88">
        <f t="shared" si="24"/>
        <v>140229.28</v>
      </c>
      <c r="L79" s="88">
        <f t="shared" si="25"/>
        <v>191697.53</v>
      </c>
      <c r="M79" s="94">
        <f>P79+S79-108000</f>
        <v>302.47000000000116</v>
      </c>
      <c r="N79" s="94"/>
      <c r="O79" s="94">
        <f t="shared" si="26"/>
        <v>108000</v>
      </c>
      <c r="P79" s="94">
        <f t="shared" si="27"/>
        <v>108302.47</v>
      </c>
      <c r="Q79" s="94"/>
      <c r="R79" s="94"/>
      <c r="S79" s="94">
        <f t="shared" si="28"/>
        <v>0</v>
      </c>
      <c r="T79" s="94">
        <f t="shared" si="29"/>
        <v>108000</v>
      </c>
      <c r="U79" s="94">
        <f t="shared" si="30"/>
        <v>-108000</v>
      </c>
      <c r="V79" s="88">
        <f t="shared" si="31"/>
        <v>-108000</v>
      </c>
      <c r="W79" s="88"/>
      <c r="X79" s="88"/>
      <c r="Y79" s="84"/>
      <c r="Z79" s="84">
        <v>732000</v>
      </c>
      <c r="AA79" s="87"/>
    </row>
    <row r="80" spans="1:32" s="95" customFormat="1" x14ac:dyDescent="0.25">
      <c r="A80" s="84">
        <f t="shared" si="32"/>
        <v>71</v>
      </c>
      <c r="B80" s="93">
        <v>1406</v>
      </c>
      <c r="C80" s="93" t="s">
        <v>319</v>
      </c>
      <c r="D80" s="94">
        <v>1100000</v>
      </c>
      <c r="E80" s="94">
        <v>700000</v>
      </c>
      <c r="F80" s="94">
        <f t="shared" si="23"/>
        <v>400000</v>
      </c>
      <c r="G80" s="94">
        <v>700000</v>
      </c>
      <c r="H80" s="94">
        <v>502601</v>
      </c>
      <c r="I80" s="94">
        <v>49768.05</v>
      </c>
      <c r="J80" s="94">
        <v>147566</v>
      </c>
      <c r="K80" s="94">
        <f t="shared" si="24"/>
        <v>197334.05</v>
      </c>
      <c r="L80" s="94">
        <f t="shared" si="25"/>
        <v>699935.05</v>
      </c>
      <c r="M80" s="94">
        <f t="shared" si="33"/>
        <v>64.949999999953434</v>
      </c>
      <c r="N80" s="94">
        <f>100000+200000</f>
        <v>300000</v>
      </c>
      <c r="O80" s="94">
        <f t="shared" si="26"/>
        <v>100000</v>
      </c>
      <c r="P80" s="94">
        <f t="shared" si="27"/>
        <v>64.949999999953434</v>
      </c>
      <c r="Q80" s="94"/>
      <c r="R80" s="94"/>
      <c r="S80" s="94">
        <f t="shared" si="28"/>
        <v>0</v>
      </c>
      <c r="T80" s="94">
        <f t="shared" si="29"/>
        <v>0</v>
      </c>
      <c r="U80" s="94">
        <f t="shared" si="30"/>
        <v>300000</v>
      </c>
      <c r="V80" s="94">
        <f t="shared" si="31"/>
        <v>300000</v>
      </c>
      <c r="W80" s="94"/>
      <c r="X80" s="94"/>
      <c r="Y80" s="93"/>
      <c r="Z80" s="93">
        <v>732000</v>
      </c>
    </row>
    <row r="81" spans="1:32" s="97" customFormat="1" x14ac:dyDescent="0.25">
      <c r="A81" s="84">
        <f t="shared" si="32"/>
        <v>72</v>
      </c>
      <c r="B81" s="93">
        <v>1407</v>
      </c>
      <c r="C81" s="93" t="s">
        <v>21</v>
      </c>
      <c r="D81" s="94">
        <v>4430000</v>
      </c>
      <c r="E81" s="94">
        <v>3430000</v>
      </c>
      <c r="F81" s="94">
        <f t="shared" si="23"/>
        <v>1000000</v>
      </c>
      <c r="G81" s="94">
        <v>3395000</v>
      </c>
      <c r="H81" s="94">
        <v>1758811</v>
      </c>
      <c r="I81" s="94">
        <v>981626</v>
      </c>
      <c r="J81" s="94">
        <v>119333.42</v>
      </c>
      <c r="K81" s="94">
        <f t="shared" si="24"/>
        <v>1100959.42</v>
      </c>
      <c r="L81" s="94">
        <f t="shared" si="25"/>
        <v>2859770.42</v>
      </c>
      <c r="M81" s="94">
        <f t="shared" si="33"/>
        <v>535229.58000000007</v>
      </c>
      <c r="N81" s="94">
        <f>1000000-500000+500000</f>
        <v>1000000</v>
      </c>
      <c r="O81" s="94">
        <f t="shared" si="26"/>
        <v>35000</v>
      </c>
      <c r="P81" s="94">
        <f t="shared" si="27"/>
        <v>535229.58000000007</v>
      </c>
      <c r="Q81" s="94"/>
      <c r="R81" s="94"/>
      <c r="S81" s="94">
        <f t="shared" si="28"/>
        <v>0</v>
      </c>
      <c r="T81" s="94">
        <f t="shared" si="29"/>
        <v>0</v>
      </c>
      <c r="U81" s="94">
        <f t="shared" si="30"/>
        <v>1000000</v>
      </c>
      <c r="V81" s="94">
        <f t="shared" si="31"/>
        <v>1000000</v>
      </c>
      <c r="W81" s="94"/>
      <c r="X81" s="94"/>
      <c r="Y81" s="93"/>
      <c r="Z81" s="93">
        <v>732000</v>
      </c>
      <c r="AA81" s="206"/>
    </row>
    <row r="82" spans="1:32" s="95" customFormat="1" x14ac:dyDescent="0.25">
      <c r="A82" s="84">
        <f t="shared" si="32"/>
        <v>73</v>
      </c>
      <c r="B82" s="93">
        <v>1408</v>
      </c>
      <c r="C82" s="93" t="s">
        <v>22</v>
      </c>
      <c r="D82" s="94">
        <v>1000000</v>
      </c>
      <c r="E82" s="94">
        <v>1000000</v>
      </c>
      <c r="F82" s="94">
        <f t="shared" si="23"/>
        <v>0</v>
      </c>
      <c r="G82" s="94">
        <v>100000</v>
      </c>
      <c r="H82" s="94">
        <v>0</v>
      </c>
      <c r="I82" s="94">
        <v>99760</v>
      </c>
      <c r="J82" s="94"/>
      <c r="K82" s="94">
        <f t="shared" si="24"/>
        <v>99760</v>
      </c>
      <c r="L82" s="94">
        <f t="shared" si="25"/>
        <v>99760</v>
      </c>
      <c r="M82" s="94">
        <f t="shared" si="33"/>
        <v>240</v>
      </c>
      <c r="N82" s="94"/>
      <c r="O82" s="94">
        <f t="shared" si="26"/>
        <v>900000</v>
      </c>
      <c r="P82" s="94">
        <f t="shared" si="27"/>
        <v>240</v>
      </c>
      <c r="Q82" s="94"/>
      <c r="R82" s="94"/>
      <c r="S82" s="94">
        <f t="shared" si="28"/>
        <v>0</v>
      </c>
      <c r="T82" s="94">
        <f t="shared" si="29"/>
        <v>0</v>
      </c>
      <c r="U82" s="94">
        <f t="shared" si="30"/>
        <v>0</v>
      </c>
      <c r="V82" s="94">
        <f t="shared" si="31"/>
        <v>0</v>
      </c>
      <c r="W82" s="94"/>
      <c r="X82" s="94"/>
      <c r="Y82" s="93"/>
      <c r="Z82" s="93">
        <v>732000</v>
      </c>
    </row>
    <row r="83" spans="1:32" s="95" customFormat="1" x14ac:dyDescent="0.25">
      <c r="A83" s="84">
        <f t="shared" si="32"/>
        <v>74</v>
      </c>
      <c r="B83" s="93">
        <v>1464</v>
      </c>
      <c r="C83" s="93" t="s">
        <v>23</v>
      </c>
      <c r="D83" s="94">
        <v>200000</v>
      </c>
      <c r="E83" s="94">
        <v>200000</v>
      </c>
      <c r="F83" s="94">
        <f t="shared" si="23"/>
        <v>0</v>
      </c>
      <c r="G83" s="94">
        <v>200000</v>
      </c>
      <c r="H83" s="94">
        <v>17198.810000000001</v>
      </c>
      <c r="I83" s="94"/>
      <c r="J83" s="94">
        <v>1445.98</v>
      </c>
      <c r="K83" s="94">
        <f t="shared" si="24"/>
        <v>1445.98</v>
      </c>
      <c r="L83" s="94">
        <f t="shared" si="25"/>
        <v>18644.79</v>
      </c>
      <c r="M83" s="94">
        <f>P83+S83-180000</f>
        <v>1355.2099999999919</v>
      </c>
      <c r="N83" s="94"/>
      <c r="O83" s="94">
        <f t="shared" si="26"/>
        <v>180000</v>
      </c>
      <c r="P83" s="94">
        <f t="shared" si="27"/>
        <v>181355.21</v>
      </c>
      <c r="Q83" s="94"/>
      <c r="R83" s="94"/>
      <c r="S83" s="94">
        <f t="shared" si="28"/>
        <v>0</v>
      </c>
      <c r="T83" s="94">
        <f t="shared" si="29"/>
        <v>180000</v>
      </c>
      <c r="U83" s="94">
        <f t="shared" si="30"/>
        <v>-180000</v>
      </c>
      <c r="V83" s="94">
        <f t="shared" si="31"/>
        <v>-180000</v>
      </c>
      <c r="W83" s="94"/>
      <c r="X83" s="94"/>
      <c r="Y83" s="93"/>
      <c r="Z83" s="93">
        <v>732000</v>
      </c>
    </row>
    <row r="84" spans="1:32" s="95" customFormat="1" x14ac:dyDescent="0.25">
      <c r="A84" s="84">
        <f t="shared" si="32"/>
        <v>75</v>
      </c>
      <c r="B84" s="93">
        <v>1465</v>
      </c>
      <c r="C84" s="93" t="s">
        <v>24</v>
      </c>
      <c r="D84" s="94">
        <v>100000</v>
      </c>
      <c r="E84" s="94">
        <v>100000</v>
      </c>
      <c r="F84" s="94">
        <f t="shared" si="23"/>
        <v>0</v>
      </c>
      <c r="G84" s="94">
        <v>100000</v>
      </c>
      <c r="H84" s="94">
        <v>0</v>
      </c>
      <c r="I84" s="94">
        <v>59206.400000000001</v>
      </c>
      <c r="J84" s="94"/>
      <c r="K84" s="94">
        <f t="shared" si="24"/>
        <v>59206.400000000001</v>
      </c>
      <c r="L84" s="94">
        <f t="shared" si="25"/>
        <v>59206.400000000001</v>
      </c>
      <c r="M84" s="94">
        <f t="shared" si="33"/>
        <v>40793.599999999999</v>
      </c>
      <c r="N84" s="94"/>
      <c r="O84" s="94">
        <f t="shared" si="26"/>
        <v>0</v>
      </c>
      <c r="P84" s="94">
        <f t="shared" si="27"/>
        <v>40793.599999999999</v>
      </c>
      <c r="Q84" s="94"/>
      <c r="R84" s="94"/>
      <c r="S84" s="94">
        <f t="shared" si="28"/>
        <v>0</v>
      </c>
      <c r="T84" s="94">
        <f t="shared" si="29"/>
        <v>0</v>
      </c>
      <c r="U84" s="94">
        <f t="shared" si="30"/>
        <v>0</v>
      </c>
      <c r="V84" s="94">
        <f t="shared" si="31"/>
        <v>0</v>
      </c>
      <c r="W84" s="94"/>
      <c r="X84" s="94"/>
      <c r="Y84" s="93"/>
      <c r="Z84" s="93">
        <v>732000</v>
      </c>
    </row>
    <row r="85" spans="1:32" s="95" customFormat="1" x14ac:dyDescent="0.25">
      <c r="A85" s="84">
        <f t="shared" si="32"/>
        <v>76</v>
      </c>
      <c r="B85" s="93">
        <v>1551</v>
      </c>
      <c r="C85" s="93" t="s">
        <v>254</v>
      </c>
      <c r="D85" s="94">
        <v>6000000</v>
      </c>
      <c r="E85" s="94">
        <v>6000000</v>
      </c>
      <c r="F85" s="94">
        <f t="shared" si="23"/>
        <v>0</v>
      </c>
      <c r="G85" s="94">
        <v>489240</v>
      </c>
      <c r="H85" s="94">
        <v>204671</v>
      </c>
      <c r="I85" s="94">
        <v>19855</v>
      </c>
      <c r="J85" s="94"/>
      <c r="K85" s="94">
        <f t="shared" si="24"/>
        <v>19855</v>
      </c>
      <c r="L85" s="94">
        <f t="shared" si="25"/>
        <v>224526</v>
      </c>
      <c r="M85" s="94">
        <f t="shared" si="33"/>
        <v>264714</v>
      </c>
      <c r="N85" s="94">
        <v>90000</v>
      </c>
      <c r="O85" s="94">
        <f t="shared" si="26"/>
        <v>5420760</v>
      </c>
      <c r="P85" s="94">
        <f t="shared" si="27"/>
        <v>264714</v>
      </c>
      <c r="Q85" s="94"/>
      <c r="R85" s="94"/>
      <c r="S85" s="94">
        <f t="shared" si="28"/>
        <v>0</v>
      </c>
      <c r="T85" s="94">
        <f t="shared" si="29"/>
        <v>0</v>
      </c>
      <c r="U85" s="94">
        <f t="shared" si="30"/>
        <v>90000</v>
      </c>
      <c r="V85" s="94">
        <f t="shared" si="31"/>
        <v>90000</v>
      </c>
      <c r="W85" s="94"/>
      <c r="X85" s="94"/>
      <c r="Y85" s="94"/>
      <c r="Z85" s="93">
        <v>732000</v>
      </c>
    </row>
    <row r="86" spans="1:32" s="95" customFormat="1" x14ac:dyDescent="0.25">
      <c r="A86" s="84">
        <f t="shared" si="32"/>
        <v>77</v>
      </c>
      <c r="B86" s="93">
        <v>1619</v>
      </c>
      <c r="C86" s="93" t="s">
        <v>255</v>
      </c>
      <c r="D86" s="94">
        <v>200000</v>
      </c>
      <c r="E86" s="94">
        <v>200000</v>
      </c>
      <c r="F86" s="94">
        <f t="shared" si="23"/>
        <v>0</v>
      </c>
      <c r="G86" s="94">
        <v>200000</v>
      </c>
      <c r="H86" s="94">
        <v>56838</v>
      </c>
      <c r="I86" s="94">
        <v>43949.9</v>
      </c>
      <c r="J86" s="94"/>
      <c r="K86" s="94">
        <f t="shared" si="24"/>
        <v>43949.9</v>
      </c>
      <c r="L86" s="94">
        <f t="shared" si="25"/>
        <v>100787.9</v>
      </c>
      <c r="M86" s="94">
        <f t="shared" si="33"/>
        <v>99212.1</v>
      </c>
      <c r="N86" s="94"/>
      <c r="O86" s="94">
        <f t="shared" si="26"/>
        <v>0</v>
      </c>
      <c r="P86" s="94">
        <f t="shared" si="27"/>
        <v>99212.1</v>
      </c>
      <c r="Q86" s="94"/>
      <c r="R86" s="94"/>
      <c r="S86" s="94">
        <f t="shared" si="28"/>
        <v>0</v>
      </c>
      <c r="T86" s="94">
        <f t="shared" si="29"/>
        <v>0</v>
      </c>
      <c r="U86" s="94">
        <f t="shared" si="30"/>
        <v>0</v>
      </c>
      <c r="V86" s="94">
        <f t="shared" si="31"/>
        <v>0</v>
      </c>
      <c r="W86" s="94"/>
      <c r="X86" s="94"/>
      <c r="Y86" s="94"/>
      <c r="Z86" s="93">
        <v>732000</v>
      </c>
    </row>
    <row r="87" spans="1:32" s="95" customFormat="1" x14ac:dyDescent="0.25">
      <c r="A87" s="84">
        <f t="shared" si="32"/>
        <v>78</v>
      </c>
      <c r="B87" s="93">
        <v>1620</v>
      </c>
      <c r="C87" s="93" t="s">
        <v>27</v>
      </c>
      <c r="D87" s="94">
        <v>1000000</v>
      </c>
      <c r="E87" s="94">
        <v>1000000</v>
      </c>
      <c r="F87" s="94">
        <f t="shared" si="23"/>
        <v>0</v>
      </c>
      <c r="G87" s="94">
        <v>200000</v>
      </c>
      <c r="H87" s="94">
        <v>0</v>
      </c>
      <c r="I87" s="94"/>
      <c r="J87" s="94"/>
      <c r="K87" s="94">
        <f t="shared" si="24"/>
        <v>0</v>
      </c>
      <c r="L87" s="94">
        <f t="shared" si="25"/>
        <v>0</v>
      </c>
      <c r="M87" s="94">
        <f>P87+S87-100000</f>
        <v>100000</v>
      </c>
      <c r="N87" s="94"/>
      <c r="O87" s="94">
        <f t="shared" si="26"/>
        <v>900000</v>
      </c>
      <c r="P87" s="94">
        <f t="shared" si="27"/>
        <v>200000</v>
      </c>
      <c r="Q87" s="94"/>
      <c r="R87" s="94"/>
      <c r="S87" s="94">
        <f t="shared" si="28"/>
        <v>0</v>
      </c>
      <c r="T87" s="94">
        <f t="shared" si="29"/>
        <v>100000</v>
      </c>
      <c r="U87" s="94">
        <f t="shared" si="30"/>
        <v>-100000</v>
      </c>
      <c r="V87" s="94">
        <f t="shared" si="31"/>
        <v>-100000</v>
      </c>
      <c r="W87" s="94"/>
      <c r="X87" s="94"/>
      <c r="Y87" s="94"/>
      <c r="Z87" s="93">
        <v>732000</v>
      </c>
    </row>
    <row r="88" spans="1:32" s="95" customFormat="1" x14ac:dyDescent="0.25">
      <c r="A88" s="84">
        <f t="shared" si="32"/>
        <v>79</v>
      </c>
      <c r="B88" s="93">
        <v>1701</v>
      </c>
      <c r="C88" s="93" t="s">
        <v>33</v>
      </c>
      <c r="D88" s="94">
        <v>750000</v>
      </c>
      <c r="E88" s="94">
        <v>750000</v>
      </c>
      <c r="F88" s="94">
        <f t="shared" si="23"/>
        <v>0</v>
      </c>
      <c r="G88" s="94">
        <v>750000</v>
      </c>
      <c r="H88" s="94">
        <v>26644</v>
      </c>
      <c r="I88" s="94">
        <v>211018.86</v>
      </c>
      <c r="J88" s="94"/>
      <c r="K88" s="94">
        <f t="shared" si="24"/>
        <v>211018.86</v>
      </c>
      <c r="L88" s="94">
        <f t="shared" si="25"/>
        <v>237662.86</v>
      </c>
      <c r="M88" s="94">
        <f t="shared" si="33"/>
        <v>512337.14</v>
      </c>
      <c r="N88" s="94"/>
      <c r="O88" s="94">
        <f t="shared" si="26"/>
        <v>0</v>
      </c>
      <c r="P88" s="94">
        <f t="shared" si="27"/>
        <v>512337.14</v>
      </c>
      <c r="Q88" s="94"/>
      <c r="R88" s="94"/>
      <c r="S88" s="94">
        <f t="shared" si="28"/>
        <v>0</v>
      </c>
      <c r="T88" s="94">
        <f t="shared" si="29"/>
        <v>0</v>
      </c>
      <c r="U88" s="94">
        <f t="shared" si="30"/>
        <v>0</v>
      </c>
      <c r="V88" s="94">
        <f t="shared" si="31"/>
        <v>0</v>
      </c>
      <c r="W88" s="94"/>
      <c r="X88" s="94"/>
      <c r="Y88" s="94"/>
      <c r="Z88" s="93">
        <v>732000</v>
      </c>
    </row>
    <row r="89" spans="1:32" s="95" customFormat="1" x14ac:dyDescent="0.25">
      <c r="A89" s="84">
        <f t="shared" si="32"/>
        <v>80</v>
      </c>
      <c r="B89" s="93">
        <v>1755</v>
      </c>
      <c r="C89" s="93" t="s">
        <v>40</v>
      </c>
      <c r="D89" s="94">
        <v>500000</v>
      </c>
      <c r="E89" s="94">
        <v>500000</v>
      </c>
      <c r="F89" s="94">
        <f t="shared" si="23"/>
        <v>0</v>
      </c>
      <c r="G89" s="94">
        <v>500000</v>
      </c>
      <c r="H89" s="94">
        <v>4577</v>
      </c>
      <c r="I89" s="94">
        <v>52226.89</v>
      </c>
      <c r="J89" s="94"/>
      <c r="K89" s="94">
        <f t="shared" si="24"/>
        <v>52226.89</v>
      </c>
      <c r="L89" s="94">
        <f t="shared" si="25"/>
        <v>56803.89</v>
      </c>
      <c r="M89" s="94">
        <f t="shared" si="33"/>
        <v>443196.11</v>
      </c>
      <c r="N89" s="94"/>
      <c r="O89" s="94">
        <f t="shared" si="26"/>
        <v>0</v>
      </c>
      <c r="P89" s="94">
        <f t="shared" si="27"/>
        <v>443196.11</v>
      </c>
      <c r="Q89" s="94"/>
      <c r="R89" s="94"/>
      <c r="S89" s="94">
        <f t="shared" si="28"/>
        <v>0</v>
      </c>
      <c r="T89" s="94">
        <f t="shared" si="29"/>
        <v>0</v>
      </c>
      <c r="U89" s="94">
        <f t="shared" si="30"/>
        <v>0</v>
      </c>
      <c r="V89" s="94">
        <f t="shared" si="31"/>
        <v>0</v>
      </c>
      <c r="W89" s="94"/>
      <c r="X89" s="94"/>
      <c r="Y89" s="93"/>
      <c r="Z89" s="93">
        <v>732000</v>
      </c>
    </row>
    <row r="90" spans="1:32" s="95" customFormat="1" x14ac:dyDescent="0.25">
      <c r="A90" s="84">
        <f t="shared" si="32"/>
        <v>81</v>
      </c>
      <c r="B90" s="93">
        <v>1760</v>
      </c>
      <c r="C90" s="93" t="s">
        <v>38</v>
      </c>
      <c r="D90" s="94">
        <v>500000</v>
      </c>
      <c r="E90" s="94">
        <v>500000</v>
      </c>
      <c r="F90" s="94">
        <f t="shared" si="23"/>
        <v>0</v>
      </c>
      <c r="G90" s="94">
        <v>350000</v>
      </c>
      <c r="H90" s="94">
        <v>36616</v>
      </c>
      <c r="I90" s="94">
        <v>3510</v>
      </c>
      <c r="J90" s="94"/>
      <c r="K90" s="94">
        <f t="shared" si="24"/>
        <v>3510</v>
      </c>
      <c r="L90" s="94">
        <f t="shared" si="25"/>
        <v>40126</v>
      </c>
      <c r="M90" s="94">
        <f>P90+S90-200000</f>
        <v>259874</v>
      </c>
      <c r="N90" s="94"/>
      <c r="O90" s="94">
        <f t="shared" si="26"/>
        <v>200000</v>
      </c>
      <c r="P90" s="94">
        <f t="shared" si="27"/>
        <v>309874</v>
      </c>
      <c r="Q90" s="94">
        <v>150000</v>
      </c>
      <c r="R90" s="94"/>
      <c r="S90" s="94">
        <f t="shared" si="28"/>
        <v>150000</v>
      </c>
      <c r="T90" s="94">
        <f t="shared" si="29"/>
        <v>200000</v>
      </c>
      <c r="U90" s="94">
        <f t="shared" si="30"/>
        <v>-200000</v>
      </c>
      <c r="V90" s="94">
        <f t="shared" si="31"/>
        <v>-200000</v>
      </c>
      <c r="W90" s="94"/>
      <c r="X90" s="94"/>
      <c r="Y90" s="93"/>
      <c r="Z90" s="93">
        <v>732000</v>
      </c>
    </row>
    <row r="91" spans="1:32" s="95" customFormat="1" x14ac:dyDescent="0.25">
      <c r="A91" s="84">
        <f t="shared" si="32"/>
        <v>82</v>
      </c>
      <c r="B91" s="93">
        <v>1762</v>
      </c>
      <c r="C91" s="93" t="s">
        <v>41</v>
      </c>
      <c r="D91" s="94">
        <v>500000</v>
      </c>
      <c r="E91" s="94">
        <v>500000</v>
      </c>
      <c r="F91" s="94">
        <f t="shared" si="23"/>
        <v>0</v>
      </c>
      <c r="G91" s="94">
        <v>100000</v>
      </c>
      <c r="H91" s="94">
        <v>0</v>
      </c>
      <c r="I91" s="94"/>
      <c r="J91" s="94"/>
      <c r="K91" s="94">
        <f t="shared" si="24"/>
        <v>0</v>
      </c>
      <c r="L91" s="94">
        <f t="shared" si="25"/>
        <v>0</v>
      </c>
      <c r="M91" s="94">
        <f t="shared" si="33"/>
        <v>100000</v>
      </c>
      <c r="N91" s="94"/>
      <c r="O91" s="94">
        <f t="shared" si="26"/>
        <v>400000</v>
      </c>
      <c r="P91" s="94">
        <f t="shared" si="27"/>
        <v>100000</v>
      </c>
      <c r="Q91" s="94"/>
      <c r="R91" s="94"/>
      <c r="S91" s="94">
        <f t="shared" si="28"/>
        <v>0</v>
      </c>
      <c r="T91" s="94">
        <f t="shared" si="29"/>
        <v>0</v>
      </c>
      <c r="U91" s="94">
        <f t="shared" si="30"/>
        <v>0</v>
      </c>
      <c r="V91" s="94">
        <f t="shared" si="31"/>
        <v>0</v>
      </c>
      <c r="W91" s="94"/>
      <c r="X91" s="94"/>
      <c r="Y91" s="93"/>
      <c r="Z91" s="93">
        <v>732000</v>
      </c>
    </row>
    <row r="92" spans="1:32" s="95" customFormat="1" x14ac:dyDescent="0.25">
      <c r="A92" s="84">
        <f t="shared" si="32"/>
        <v>83</v>
      </c>
      <c r="B92" s="93">
        <v>1799</v>
      </c>
      <c r="C92" s="93" t="s">
        <v>281</v>
      </c>
      <c r="D92" s="94">
        <v>1000000</v>
      </c>
      <c r="E92" s="94">
        <v>1000000</v>
      </c>
      <c r="F92" s="94">
        <f t="shared" si="23"/>
        <v>0</v>
      </c>
      <c r="G92" s="94">
        <v>400000</v>
      </c>
      <c r="H92" s="94">
        <v>0</v>
      </c>
      <c r="I92" s="94">
        <v>44673.599999999999</v>
      </c>
      <c r="J92" s="94"/>
      <c r="K92" s="94">
        <f t="shared" si="24"/>
        <v>44673.599999999999</v>
      </c>
      <c r="L92" s="94">
        <f t="shared" si="25"/>
        <v>44673.599999999999</v>
      </c>
      <c r="M92" s="94">
        <f>P92+S92-100000</f>
        <v>455326.4</v>
      </c>
      <c r="N92" s="94"/>
      <c r="O92" s="94">
        <f t="shared" si="26"/>
        <v>500000</v>
      </c>
      <c r="P92" s="94">
        <f t="shared" si="27"/>
        <v>355326.4</v>
      </c>
      <c r="Q92" s="94">
        <v>200000</v>
      </c>
      <c r="R92" s="94"/>
      <c r="S92" s="94">
        <f t="shared" si="28"/>
        <v>200000</v>
      </c>
      <c r="T92" s="94">
        <f t="shared" si="29"/>
        <v>100000</v>
      </c>
      <c r="U92" s="94">
        <f t="shared" si="30"/>
        <v>-100000</v>
      </c>
      <c r="V92" s="94">
        <f t="shared" si="31"/>
        <v>-100000</v>
      </c>
      <c r="W92" s="94"/>
      <c r="X92" s="94"/>
      <c r="Y92" s="93"/>
      <c r="Z92" s="93">
        <v>732000</v>
      </c>
    </row>
    <row r="93" spans="1:32" s="95" customFormat="1" x14ac:dyDescent="0.25">
      <c r="A93" s="84">
        <f t="shared" si="32"/>
        <v>84</v>
      </c>
      <c r="B93" s="93">
        <v>1838</v>
      </c>
      <c r="C93" s="93" t="s">
        <v>310</v>
      </c>
      <c r="D93" s="94">
        <v>400000</v>
      </c>
      <c r="E93" s="94">
        <v>400000</v>
      </c>
      <c r="F93" s="94">
        <f t="shared" si="23"/>
        <v>0</v>
      </c>
      <c r="G93" s="94">
        <v>400000</v>
      </c>
      <c r="H93" s="94">
        <v>0</v>
      </c>
      <c r="I93" s="94"/>
      <c r="J93" s="94"/>
      <c r="K93" s="94">
        <f t="shared" si="24"/>
        <v>0</v>
      </c>
      <c r="L93" s="94">
        <f t="shared" si="25"/>
        <v>0</v>
      </c>
      <c r="M93" s="94">
        <f t="shared" si="33"/>
        <v>400000</v>
      </c>
      <c r="N93" s="94"/>
      <c r="O93" s="94">
        <f t="shared" si="26"/>
        <v>0</v>
      </c>
      <c r="P93" s="94">
        <f t="shared" si="27"/>
        <v>400000</v>
      </c>
      <c r="Q93" s="94"/>
      <c r="R93" s="94"/>
      <c r="S93" s="94">
        <f t="shared" si="28"/>
        <v>0</v>
      </c>
      <c r="T93" s="94">
        <f t="shared" si="29"/>
        <v>0</v>
      </c>
      <c r="U93" s="94">
        <f t="shared" si="30"/>
        <v>0</v>
      </c>
      <c r="V93" s="94">
        <f t="shared" si="31"/>
        <v>0</v>
      </c>
      <c r="W93" s="94"/>
      <c r="X93" s="94"/>
      <c r="Y93" s="93"/>
      <c r="Z93" s="93">
        <v>732000</v>
      </c>
      <c r="AB93" s="97"/>
      <c r="AC93" s="97"/>
      <c r="AD93" s="97"/>
      <c r="AE93" s="97"/>
      <c r="AF93" s="97"/>
    </row>
    <row r="94" spans="1:32" s="95" customFormat="1" x14ac:dyDescent="0.25">
      <c r="A94" s="84">
        <f t="shared" si="32"/>
        <v>85</v>
      </c>
      <c r="B94" s="93">
        <v>1839</v>
      </c>
      <c r="C94" s="93" t="s">
        <v>311</v>
      </c>
      <c r="D94" s="94">
        <v>150000</v>
      </c>
      <c r="E94" s="94">
        <v>150000</v>
      </c>
      <c r="F94" s="94">
        <f t="shared" si="23"/>
        <v>0</v>
      </c>
      <c r="G94" s="94">
        <v>0</v>
      </c>
      <c r="H94" s="94">
        <v>0</v>
      </c>
      <c r="I94" s="94"/>
      <c r="J94" s="94"/>
      <c r="K94" s="94">
        <f t="shared" si="24"/>
        <v>0</v>
      </c>
      <c r="L94" s="94">
        <f t="shared" si="25"/>
        <v>0</v>
      </c>
      <c r="M94" s="94">
        <f t="shared" si="33"/>
        <v>150000</v>
      </c>
      <c r="N94" s="94"/>
      <c r="O94" s="94">
        <f t="shared" si="26"/>
        <v>0</v>
      </c>
      <c r="P94" s="94">
        <f t="shared" si="27"/>
        <v>0</v>
      </c>
      <c r="Q94" s="94">
        <v>150000</v>
      </c>
      <c r="R94" s="94"/>
      <c r="S94" s="94">
        <f t="shared" si="28"/>
        <v>150000</v>
      </c>
      <c r="T94" s="94">
        <f t="shared" si="29"/>
        <v>0</v>
      </c>
      <c r="U94" s="94">
        <f t="shared" si="30"/>
        <v>0</v>
      </c>
      <c r="V94" s="94">
        <f t="shared" si="31"/>
        <v>0</v>
      </c>
      <c r="W94" s="94"/>
      <c r="X94" s="94"/>
      <c r="Y94" s="93"/>
      <c r="Z94" s="93">
        <v>732000</v>
      </c>
    </row>
    <row r="95" spans="1:32" s="95" customFormat="1" x14ac:dyDescent="0.25">
      <c r="A95" s="84">
        <f t="shared" si="32"/>
        <v>86</v>
      </c>
      <c r="B95" s="93">
        <v>1841</v>
      </c>
      <c r="C95" s="93" t="s">
        <v>312</v>
      </c>
      <c r="D95" s="94">
        <v>600000</v>
      </c>
      <c r="E95" s="94">
        <v>600000</v>
      </c>
      <c r="F95" s="94"/>
      <c r="G95" s="94">
        <v>100000</v>
      </c>
      <c r="H95" s="94">
        <v>0</v>
      </c>
      <c r="I95" s="94"/>
      <c r="J95" s="94"/>
      <c r="K95" s="94">
        <f t="shared" si="24"/>
        <v>0</v>
      </c>
      <c r="L95" s="94">
        <f t="shared" si="25"/>
        <v>0</v>
      </c>
      <c r="M95" s="94">
        <f t="shared" si="33"/>
        <v>600000</v>
      </c>
      <c r="N95" s="94"/>
      <c r="O95" s="94">
        <f t="shared" si="26"/>
        <v>0</v>
      </c>
      <c r="P95" s="94">
        <f t="shared" si="27"/>
        <v>100000</v>
      </c>
      <c r="Q95" s="94">
        <v>500000</v>
      </c>
      <c r="R95" s="94"/>
      <c r="S95" s="94">
        <f t="shared" si="28"/>
        <v>500000</v>
      </c>
      <c r="T95" s="94">
        <f t="shared" si="29"/>
        <v>0</v>
      </c>
      <c r="U95" s="94">
        <f t="shared" si="30"/>
        <v>0</v>
      </c>
      <c r="V95" s="94">
        <f t="shared" si="31"/>
        <v>0</v>
      </c>
      <c r="W95" s="94"/>
      <c r="X95" s="94"/>
      <c r="Y95" s="93"/>
      <c r="Z95" s="93">
        <v>732000</v>
      </c>
      <c r="AB95" s="97"/>
      <c r="AC95" s="97"/>
      <c r="AD95" s="97"/>
      <c r="AE95" s="97"/>
      <c r="AF95" s="97"/>
    </row>
    <row r="96" spans="1:32" s="97" customFormat="1" x14ac:dyDescent="0.25">
      <c r="A96" s="84">
        <f t="shared" si="32"/>
        <v>87</v>
      </c>
      <c r="B96" s="93">
        <v>1842</v>
      </c>
      <c r="C96" s="93" t="s">
        <v>313</v>
      </c>
      <c r="D96" s="94">
        <v>800000</v>
      </c>
      <c r="E96" s="94">
        <v>800000</v>
      </c>
      <c r="F96" s="94"/>
      <c r="G96" s="94">
        <v>400000</v>
      </c>
      <c r="H96" s="94">
        <v>0</v>
      </c>
      <c r="I96" s="94"/>
      <c r="J96" s="94"/>
      <c r="K96" s="94">
        <f t="shared" si="24"/>
        <v>0</v>
      </c>
      <c r="L96" s="94">
        <f t="shared" si="25"/>
        <v>0</v>
      </c>
      <c r="M96" s="94">
        <f>P96+S96-100000</f>
        <v>300000</v>
      </c>
      <c r="N96" s="94"/>
      <c r="O96" s="94">
        <f t="shared" si="26"/>
        <v>500000</v>
      </c>
      <c r="P96" s="94">
        <f t="shared" si="27"/>
        <v>400000</v>
      </c>
      <c r="Q96" s="94"/>
      <c r="R96" s="94"/>
      <c r="S96" s="94">
        <f t="shared" si="28"/>
        <v>0</v>
      </c>
      <c r="T96" s="94">
        <f t="shared" si="29"/>
        <v>100000</v>
      </c>
      <c r="U96" s="94">
        <f t="shared" si="30"/>
        <v>-100000</v>
      </c>
      <c r="V96" s="94">
        <f t="shared" si="31"/>
        <v>-100000</v>
      </c>
      <c r="W96" s="94"/>
      <c r="X96" s="94"/>
      <c r="Y96" s="93"/>
      <c r="Z96" s="93">
        <v>732000</v>
      </c>
      <c r="AA96" s="95"/>
      <c r="AB96" s="95"/>
      <c r="AC96" s="95"/>
      <c r="AD96" s="95"/>
      <c r="AE96" s="95"/>
      <c r="AF96" s="95"/>
    </row>
    <row r="97" spans="1:32" s="95" customFormat="1" x14ac:dyDescent="0.25">
      <c r="A97" s="84">
        <f t="shared" si="32"/>
        <v>88</v>
      </c>
      <c r="B97" s="93">
        <v>1937</v>
      </c>
      <c r="C97" s="93" t="s">
        <v>435</v>
      </c>
      <c r="D97" s="94">
        <v>450000</v>
      </c>
      <c r="E97" s="94">
        <v>450000</v>
      </c>
      <c r="F97" s="94">
        <f>D97-E97</f>
        <v>0</v>
      </c>
      <c r="G97" s="94"/>
      <c r="H97" s="94"/>
      <c r="I97" s="94"/>
      <c r="J97" s="94"/>
      <c r="K97" s="94"/>
      <c r="L97" s="94"/>
      <c r="M97" s="94">
        <f t="shared" si="33"/>
        <v>450000</v>
      </c>
      <c r="N97" s="94"/>
      <c r="O97" s="94">
        <f t="shared" si="26"/>
        <v>0</v>
      </c>
      <c r="P97" s="94"/>
      <c r="Q97" s="94"/>
      <c r="R97" s="94">
        <v>450000</v>
      </c>
      <c r="S97" s="94">
        <f t="shared" si="28"/>
        <v>450000</v>
      </c>
      <c r="T97" s="94"/>
      <c r="U97" s="94">
        <f t="shared" si="30"/>
        <v>0</v>
      </c>
      <c r="V97" s="94">
        <f t="shared" si="31"/>
        <v>0</v>
      </c>
      <c r="W97" s="94"/>
      <c r="X97" s="94"/>
      <c r="Y97" s="93"/>
      <c r="Z97" s="93">
        <v>732000</v>
      </c>
      <c r="AD97" s="251"/>
    </row>
    <row r="98" spans="1:32" s="95" customFormat="1" x14ac:dyDescent="0.25">
      <c r="A98" s="84">
        <f t="shared" si="32"/>
        <v>89</v>
      </c>
      <c r="B98" s="93">
        <v>1950</v>
      </c>
      <c r="C98" s="93" t="s">
        <v>701</v>
      </c>
      <c r="D98" s="94">
        <v>500000</v>
      </c>
      <c r="E98" s="94"/>
      <c r="F98" s="94">
        <f>D98-E98</f>
        <v>500000</v>
      </c>
      <c r="G98" s="94"/>
      <c r="H98" s="94"/>
      <c r="I98" s="94"/>
      <c r="J98" s="94"/>
      <c r="K98" s="94"/>
      <c r="L98" s="94"/>
      <c r="M98" s="94">
        <f t="shared" si="33"/>
        <v>0</v>
      </c>
      <c r="N98" s="94">
        <f>500000-300000+300000</f>
        <v>500000</v>
      </c>
      <c r="O98" s="94">
        <f t="shared" si="26"/>
        <v>0</v>
      </c>
      <c r="P98" s="94"/>
      <c r="Q98" s="94"/>
      <c r="R98" s="94"/>
      <c r="S98" s="94">
        <f t="shared" si="28"/>
        <v>0</v>
      </c>
      <c r="T98" s="94"/>
      <c r="U98" s="94">
        <f t="shared" si="30"/>
        <v>500000</v>
      </c>
      <c r="V98" s="94">
        <f t="shared" si="31"/>
        <v>500000</v>
      </c>
      <c r="W98" s="94"/>
      <c r="X98" s="94"/>
      <c r="Y98" s="93"/>
      <c r="Z98" s="93">
        <v>732000</v>
      </c>
      <c r="AD98" s="251"/>
      <c r="AE98" s="87"/>
    </row>
    <row r="99" spans="1:32" s="97" customFormat="1" x14ac:dyDescent="0.25">
      <c r="A99" s="84">
        <f t="shared" si="32"/>
        <v>90</v>
      </c>
      <c r="B99" s="93">
        <v>1951</v>
      </c>
      <c r="C99" s="93" t="s">
        <v>436</v>
      </c>
      <c r="D99" s="94">
        <v>300000</v>
      </c>
      <c r="E99" s="94"/>
      <c r="F99" s="94">
        <f>D99-E99</f>
        <v>300000</v>
      </c>
      <c r="G99" s="94"/>
      <c r="H99" s="94"/>
      <c r="I99" s="94"/>
      <c r="J99" s="94"/>
      <c r="K99" s="94"/>
      <c r="L99" s="94"/>
      <c r="M99" s="94">
        <f>P99+S99</f>
        <v>0</v>
      </c>
      <c r="N99" s="94">
        <f>300000-100000+100000</f>
        <v>300000</v>
      </c>
      <c r="O99" s="94">
        <f>D99-L99-M99-N99</f>
        <v>0</v>
      </c>
      <c r="P99" s="94"/>
      <c r="Q99" s="94"/>
      <c r="R99" s="94"/>
      <c r="S99" s="94">
        <f>SUM(Q99:R99)</f>
        <v>0</v>
      </c>
      <c r="T99" s="94"/>
      <c r="U99" s="94">
        <f>N99-T99</f>
        <v>300000</v>
      </c>
      <c r="V99" s="94">
        <f>U99-Y99-W99-X99</f>
        <v>300000</v>
      </c>
      <c r="W99" s="94"/>
      <c r="X99" s="94"/>
      <c r="Y99" s="93"/>
      <c r="Z99" s="93">
        <v>732000</v>
      </c>
      <c r="AA99" s="95"/>
      <c r="AB99" s="95"/>
      <c r="AC99" s="95"/>
      <c r="AD99" s="251"/>
      <c r="AF99" s="95"/>
    </row>
    <row r="100" spans="1:32" s="97" customFormat="1" x14ac:dyDescent="0.25">
      <c r="A100" s="84">
        <f t="shared" si="32"/>
        <v>91</v>
      </c>
      <c r="B100" s="93">
        <v>1952</v>
      </c>
      <c r="C100" s="93" t="s">
        <v>541</v>
      </c>
      <c r="D100" s="94">
        <v>120000</v>
      </c>
      <c r="E100" s="94"/>
      <c r="F100" s="94">
        <f>D100-E100</f>
        <v>120000</v>
      </c>
      <c r="G100" s="94"/>
      <c r="H100" s="94"/>
      <c r="I100" s="94"/>
      <c r="J100" s="94"/>
      <c r="K100" s="94"/>
      <c r="L100" s="94"/>
      <c r="M100" s="94">
        <f t="shared" si="33"/>
        <v>0</v>
      </c>
      <c r="N100" s="94">
        <v>120000</v>
      </c>
      <c r="O100" s="94">
        <f t="shared" si="26"/>
        <v>0</v>
      </c>
      <c r="P100" s="94"/>
      <c r="Q100" s="94"/>
      <c r="R100" s="94"/>
      <c r="S100" s="94">
        <f t="shared" si="28"/>
        <v>0</v>
      </c>
      <c r="T100" s="94"/>
      <c r="U100" s="94">
        <f t="shared" si="30"/>
        <v>120000</v>
      </c>
      <c r="V100" s="94">
        <f t="shared" si="31"/>
        <v>120000</v>
      </c>
      <c r="W100" s="94"/>
      <c r="X100" s="94"/>
      <c r="Y100" s="93"/>
      <c r="Z100" s="93">
        <v>732000</v>
      </c>
      <c r="AA100" s="95"/>
      <c r="AB100" s="95"/>
      <c r="AC100" s="95"/>
      <c r="AF100" s="95"/>
    </row>
    <row r="101" spans="1:32" s="97" customFormat="1" x14ac:dyDescent="0.25">
      <c r="A101" s="90"/>
      <c r="B101" s="108"/>
      <c r="C101" s="108" t="s">
        <v>437</v>
      </c>
      <c r="D101" s="160">
        <f>SUM(D76:D100)</f>
        <v>30782000</v>
      </c>
      <c r="E101" s="160">
        <f t="shared" ref="E101:Y101" si="34">SUM(E76:E100)</f>
        <v>28645000</v>
      </c>
      <c r="F101" s="160">
        <f t="shared" si="34"/>
        <v>2137000</v>
      </c>
      <c r="G101" s="160">
        <f t="shared" si="34"/>
        <v>16769240</v>
      </c>
      <c r="H101" s="160">
        <f t="shared" si="34"/>
        <v>7737151.0999999996</v>
      </c>
      <c r="I101" s="160">
        <f t="shared" si="34"/>
        <v>1915461.2999999996</v>
      </c>
      <c r="J101" s="160">
        <f t="shared" si="34"/>
        <v>1673923.79</v>
      </c>
      <c r="K101" s="160">
        <f t="shared" si="34"/>
        <v>3589385.09</v>
      </c>
      <c r="L101" s="160">
        <f t="shared" si="34"/>
        <v>11326536.189999999</v>
      </c>
      <c r="M101" s="160">
        <f t="shared" si="34"/>
        <v>6001703.8099999996</v>
      </c>
      <c r="N101" s="160">
        <f t="shared" si="34"/>
        <v>2910000</v>
      </c>
      <c r="O101" s="160">
        <f t="shared" si="34"/>
        <v>10543760</v>
      </c>
      <c r="P101" s="160">
        <f t="shared" si="34"/>
        <v>5442703.8100000005</v>
      </c>
      <c r="Q101" s="160">
        <f t="shared" si="34"/>
        <v>1000000</v>
      </c>
      <c r="R101" s="160">
        <f t="shared" si="34"/>
        <v>450000</v>
      </c>
      <c r="S101" s="160">
        <f t="shared" si="34"/>
        <v>1450000</v>
      </c>
      <c r="T101" s="160">
        <f t="shared" si="34"/>
        <v>891000</v>
      </c>
      <c r="U101" s="160">
        <f t="shared" si="34"/>
        <v>2019000</v>
      </c>
      <c r="V101" s="160">
        <f t="shared" si="34"/>
        <v>2019000</v>
      </c>
      <c r="W101" s="160">
        <f t="shared" si="34"/>
        <v>0</v>
      </c>
      <c r="X101" s="160">
        <f t="shared" si="34"/>
        <v>0</v>
      </c>
      <c r="Y101" s="160">
        <f t="shared" si="34"/>
        <v>0</v>
      </c>
      <c r="Z101" s="160"/>
    </row>
    <row r="102" spans="1:32" s="87" customFormat="1" x14ac:dyDescent="0.25">
      <c r="A102" s="84"/>
      <c r="B102" s="84"/>
      <c r="C102" s="84"/>
      <c r="D102" s="94"/>
      <c r="E102" s="88"/>
      <c r="F102" s="88"/>
      <c r="G102" s="88"/>
      <c r="H102" s="88"/>
      <c r="I102" s="88"/>
      <c r="J102" s="88"/>
      <c r="K102" s="88"/>
      <c r="L102" s="88"/>
      <c r="M102" s="94"/>
      <c r="N102" s="94"/>
      <c r="O102" s="94"/>
      <c r="P102" s="94"/>
      <c r="Q102" s="94"/>
      <c r="R102" s="94"/>
      <c r="S102" s="94"/>
      <c r="T102" s="94"/>
      <c r="U102" s="94"/>
      <c r="V102" s="88"/>
      <c r="W102" s="88"/>
      <c r="X102" s="88"/>
      <c r="Y102" s="84"/>
      <c r="Z102" s="84"/>
      <c r="AD102" s="251"/>
      <c r="AE102" s="92"/>
    </row>
    <row r="103" spans="1:32" s="87" customFormat="1" x14ac:dyDescent="0.25">
      <c r="A103" s="84"/>
      <c r="B103" s="84"/>
      <c r="C103" s="90" t="s">
        <v>31</v>
      </c>
      <c r="D103" s="94"/>
      <c r="E103" s="88"/>
      <c r="F103" s="88"/>
      <c r="G103" s="88"/>
      <c r="H103" s="88"/>
      <c r="I103" s="88"/>
      <c r="J103" s="88"/>
      <c r="K103" s="88"/>
      <c r="L103" s="88"/>
      <c r="M103" s="94"/>
      <c r="N103" s="94"/>
      <c r="O103" s="94"/>
      <c r="P103" s="94"/>
      <c r="Q103" s="94"/>
      <c r="R103" s="94"/>
      <c r="S103" s="94"/>
      <c r="T103" s="94"/>
      <c r="U103" s="94"/>
      <c r="V103" s="88"/>
      <c r="W103" s="88"/>
      <c r="X103" s="88"/>
      <c r="Y103" s="84"/>
      <c r="Z103" s="84"/>
    </row>
    <row r="104" spans="1:32" s="97" customFormat="1" x14ac:dyDescent="0.25">
      <c r="A104" s="93">
        <f>A100+1</f>
        <v>92</v>
      </c>
      <c r="B104" s="93">
        <v>1409</v>
      </c>
      <c r="C104" s="93" t="s">
        <v>438</v>
      </c>
      <c r="D104" s="94">
        <v>3500000</v>
      </c>
      <c r="E104" s="94">
        <v>3300000</v>
      </c>
      <c r="F104" s="94">
        <f t="shared" ref="F104:F117" si="35">D104-E104</f>
        <v>200000</v>
      </c>
      <c r="G104" s="94">
        <v>3000000</v>
      </c>
      <c r="H104" s="94">
        <v>2041090.76</v>
      </c>
      <c r="I104" s="94">
        <v>4560</v>
      </c>
      <c r="J104" s="94">
        <v>351032.12</v>
      </c>
      <c r="K104" s="94">
        <f t="shared" ref="K104:K119" si="36">SUM(I104:J104)</f>
        <v>355592.12</v>
      </c>
      <c r="L104" s="94">
        <f t="shared" ref="L104:L119" si="37">H104+K104</f>
        <v>2396682.88</v>
      </c>
      <c r="M104" s="94">
        <f t="shared" ref="M104:M119" si="38">P104+S104</f>
        <v>903317.12000000011</v>
      </c>
      <c r="N104" s="94"/>
      <c r="O104" s="94">
        <f t="shared" ref="O104:O119" si="39">D104-L104-M104-N104</f>
        <v>200000</v>
      </c>
      <c r="P104" s="94">
        <f t="shared" ref="P104:P119" si="40">G104-L104</f>
        <v>603317.12000000011</v>
      </c>
      <c r="Q104" s="94">
        <v>300000</v>
      </c>
      <c r="R104" s="94"/>
      <c r="S104" s="94">
        <f t="shared" ref="S104:S119" si="41">SUM(Q104:R104)</f>
        <v>300000</v>
      </c>
      <c r="T104" s="94">
        <f t="shared" ref="T104:T119" si="42">P104-M104+S104</f>
        <v>0</v>
      </c>
      <c r="U104" s="94">
        <f t="shared" ref="U104:U119" si="43">N104-T104</f>
        <v>0</v>
      </c>
      <c r="V104" s="94">
        <f t="shared" ref="V104:V119" si="44">U104-Y104-W104-X104</f>
        <v>0</v>
      </c>
      <c r="W104" s="94"/>
      <c r="X104" s="94"/>
      <c r="Y104" s="93"/>
      <c r="Z104" s="93">
        <v>732000</v>
      </c>
      <c r="AA104" s="95"/>
    </row>
    <row r="105" spans="1:32" s="97" customFormat="1" x14ac:dyDescent="0.25">
      <c r="A105" s="93">
        <f>A104+1</f>
        <v>93</v>
      </c>
      <c r="B105" s="93">
        <v>1466</v>
      </c>
      <c r="C105" s="93" t="s">
        <v>25</v>
      </c>
      <c r="D105" s="94">
        <v>1800000</v>
      </c>
      <c r="E105" s="94">
        <v>1300000</v>
      </c>
      <c r="F105" s="94">
        <f t="shared" si="35"/>
        <v>500000</v>
      </c>
      <c r="G105" s="94">
        <f>1162056+137944</f>
        <v>1300000</v>
      </c>
      <c r="H105" s="94">
        <v>890236.86</v>
      </c>
      <c r="I105" s="94">
        <v>91727.45</v>
      </c>
      <c r="J105" s="94"/>
      <c r="K105" s="94">
        <f t="shared" si="36"/>
        <v>91727.45</v>
      </c>
      <c r="L105" s="94">
        <f t="shared" si="37"/>
        <v>981964.30999999994</v>
      </c>
      <c r="M105" s="94">
        <f t="shared" si="38"/>
        <v>318035.69000000006</v>
      </c>
      <c r="N105" s="94">
        <v>400000</v>
      </c>
      <c r="O105" s="94">
        <f t="shared" si="39"/>
        <v>100000</v>
      </c>
      <c r="P105" s="94">
        <f t="shared" si="40"/>
        <v>318035.69000000006</v>
      </c>
      <c r="Q105" s="94"/>
      <c r="R105" s="94"/>
      <c r="S105" s="94">
        <f t="shared" si="41"/>
        <v>0</v>
      </c>
      <c r="T105" s="94">
        <f t="shared" si="42"/>
        <v>0</v>
      </c>
      <c r="U105" s="94">
        <f t="shared" si="43"/>
        <v>400000</v>
      </c>
      <c r="V105" s="94">
        <f t="shared" si="44"/>
        <v>400000</v>
      </c>
      <c r="W105" s="94"/>
      <c r="X105" s="94"/>
      <c r="Y105" s="93"/>
      <c r="Z105" s="93">
        <v>732000</v>
      </c>
      <c r="AA105" s="95"/>
    </row>
    <row r="106" spans="1:32" s="95" customFormat="1" x14ac:dyDescent="0.25">
      <c r="A106" s="93">
        <f t="shared" ref="A106:A119" si="45">A105+1</f>
        <v>94</v>
      </c>
      <c r="B106" s="93">
        <v>1467</v>
      </c>
      <c r="C106" s="93" t="s">
        <v>26</v>
      </c>
      <c r="D106" s="94">
        <v>450000</v>
      </c>
      <c r="E106" s="94">
        <v>450000</v>
      </c>
      <c r="F106" s="94">
        <f t="shared" si="35"/>
        <v>0</v>
      </c>
      <c r="G106" s="94">
        <v>350000</v>
      </c>
      <c r="H106" s="94">
        <v>163685.64000000001</v>
      </c>
      <c r="I106" s="94"/>
      <c r="J106" s="94"/>
      <c r="K106" s="94">
        <f t="shared" si="36"/>
        <v>0</v>
      </c>
      <c r="L106" s="94">
        <f t="shared" si="37"/>
        <v>163685.64000000001</v>
      </c>
      <c r="M106" s="94">
        <f t="shared" si="38"/>
        <v>186314.36</v>
      </c>
      <c r="N106" s="94"/>
      <c r="O106" s="94">
        <f t="shared" si="39"/>
        <v>100000</v>
      </c>
      <c r="P106" s="94">
        <f t="shared" si="40"/>
        <v>186314.36</v>
      </c>
      <c r="Q106" s="94"/>
      <c r="R106" s="94"/>
      <c r="S106" s="94">
        <f t="shared" si="41"/>
        <v>0</v>
      </c>
      <c r="T106" s="94">
        <f t="shared" si="42"/>
        <v>0</v>
      </c>
      <c r="U106" s="94">
        <f t="shared" si="43"/>
        <v>0</v>
      </c>
      <c r="V106" s="94">
        <f t="shared" si="44"/>
        <v>0</v>
      </c>
      <c r="W106" s="94"/>
      <c r="X106" s="94"/>
      <c r="Y106" s="93"/>
      <c r="Z106" s="93">
        <v>732000</v>
      </c>
    </row>
    <row r="107" spans="1:32" s="95" customFormat="1" x14ac:dyDescent="0.25">
      <c r="A107" s="93">
        <f t="shared" si="45"/>
        <v>95</v>
      </c>
      <c r="B107" s="93">
        <v>1527</v>
      </c>
      <c r="C107" s="93" t="s">
        <v>827</v>
      </c>
      <c r="D107" s="94">
        <v>3000000</v>
      </c>
      <c r="E107" s="94">
        <v>3000000</v>
      </c>
      <c r="F107" s="94">
        <f t="shared" si="35"/>
        <v>0</v>
      </c>
      <c r="G107" s="94">
        <v>3000000</v>
      </c>
      <c r="H107" s="94">
        <v>815200.42</v>
      </c>
      <c r="I107" s="94">
        <v>60940.1</v>
      </c>
      <c r="J107" s="94">
        <v>750480.05</v>
      </c>
      <c r="K107" s="94">
        <f t="shared" si="36"/>
        <v>811420.15</v>
      </c>
      <c r="L107" s="94">
        <f t="shared" si="37"/>
        <v>1626620.57</v>
      </c>
      <c r="M107" s="94">
        <f>P107+S107-1000000</f>
        <v>373379.42999999993</v>
      </c>
      <c r="N107" s="94"/>
      <c r="O107" s="94">
        <f t="shared" si="39"/>
        <v>1000000</v>
      </c>
      <c r="P107" s="94">
        <f t="shared" si="40"/>
        <v>1373379.43</v>
      </c>
      <c r="Q107" s="94"/>
      <c r="R107" s="94"/>
      <c r="S107" s="94">
        <f t="shared" si="41"/>
        <v>0</v>
      </c>
      <c r="T107" s="94">
        <f t="shared" si="42"/>
        <v>1000000</v>
      </c>
      <c r="U107" s="94">
        <f t="shared" si="43"/>
        <v>-1000000</v>
      </c>
      <c r="V107" s="94">
        <f t="shared" si="44"/>
        <v>-1000000</v>
      </c>
      <c r="W107" s="94"/>
      <c r="X107" s="94"/>
      <c r="Y107" s="93"/>
      <c r="Z107" s="93">
        <v>732000</v>
      </c>
    </row>
    <row r="108" spans="1:32" s="95" customFormat="1" x14ac:dyDescent="0.25">
      <c r="A108" s="93">
        <f t="shared" si="45"/>
        <v>96</v>
      </c>
      <c r="B108" s="93">
        <v>1660</v>
      </c>
      <c r="C108" s="93" t="s">
        <v>28</v>
      </c>
      <c r="D108" s="94">
        <v>2000000</v>
      </c>
      <c r="E108" s="94">
        <v>2000000</v>
      </c>
      <c r="F108" s="94">
        <f t="shared" si="35"/>
        <v>0</v>
      </c>
      <c r="G108" s="94">
        <v>150000</v>
      </c>
      <c r="H108" s="94">
        <v>85408</v>
      </c>
      <c r="I108" s="94"/>
      <c r="J108" s="94"/>
      <c r="K108" s="94">
        <f t="shared" si="36"/>
        <v>0</v>
      </c>
      <c r="L108" s="94">
        <f t="shared" si="37"/>
        <v>85408</v>
      </c>
      <c r="M108" s="94">
        <f t="shared" si="38"/>
        <v>64592</v>
      </c>
      <c r="N108" s="94"/>
      <c r="O108" s="94">
        <f t="shared" si="39"/>
        <v>1850000</v>
      </c>
      <c r="P108" s="94">
        <f t="shared" si="40"/>
        <v>64592</v>
      </c>
      <c r="Q108" s="94"/>
      <c r="R108" s="94"/>
      <c r="S108" s="94">
        <f t="shared" si="41"/>
        <v>0</v>
      </c>
      <c r="T108" s="94">
        <f t="shared" si="42"/>
        <v>0</v>
      </c>
      <c r="U108" s="94">
        <f t="shared" si="43"/>
        <v>0</v>
      </c>
      <c r="V108" s="94">
        <f t="shared" si="44"/>
        <v>0</v>
      </c>
      <c r="W108" s="94"/>
      <c r="X108" s="94"/>
      <c r="Y108" s="94"/>
      <c r="Z108" s="93">
        <v>732000</v>
      </c>
    </row>
    <row r="109" spans="1:32" s="95" customFormat="1" ht="15.6" x14ac:dyDescent="0.25">
      <c r="A109" s="93">
        <f t="shared" si="45"/>
        <v>97</v>
      </c>
      <c r="B109" s="93">
        <v>1674</v>
      </c>
      <c r="C109" s="93" t="s">
        <v>31</v>
      </c>
      <c r="D109" s="94">
        <v>2000000</v>
      </c>
      <c r="E109" s="94">
        <v>1800000</v>
      </c>
      <c r="F109" s="94">
        <f t="shared" si="35"/>
        <v>200000</v>
      </c>
      <c r="G109" s="94">
        <f>1500000+300000</f>
        <v>1800000</v>
      </c>
      <c r="H109" s="94">
        <v>559631.66</v>
      </c>
      <c r="I109" s="94">
        <v>351524.7</v>
      </c>
      <c r="J109" s="94">
        <v>428400.68</v>
      </c>
      <c r="K109" s="94">
        <f t="shared" si="36"/>
        <v>779925.38</v>
      </c>
      <c r="L109" s="94">
        <f t="shared" si="37"/>
        <v>1339557.04</v>
      </c>
      <c r="M109" s="94">
        <f t="shared" si="38"/>
        <v>460442.95999999996</v>
      </c>
      <c r="N109" s="94">
        <v>200000</v>
      </c>
      <c r="O109" s="94">
        <f t="shared" si="39"/>
        <v>0</v>
      </c>
      <c r="P109" s="94">
        <f t="shared" si="40"/>
        <v>460442.95999999996</v>
      </c>
      <c r="Q109" s="94"/>
      <c r="R109" s="94"/>
      <c r="S109" s="94">
        <f t="shared" si="41"/>
        <v>0</v>
      </c>
      <c r="T109" s="94">
        <f t="shared" si="42"/>
        <v>0</v>
      </c>
      <c r="U109" s="94">
        <f t="shared" si="43"/>
        <v>200000</v>
      </c>
      <c r="V109" s="94">
        <f t="shared" si="44"/>
        <v>200000</v>
      </c>
      <c r="W109" s="94"/>
      <c r="X109" s="94"/>
      <c r="Y109" s="94"/>
      <c r="Z109" s="93">
        <v>732000</v>
      </c>
      <c r="AB109" s="99"/>
      <c r="AC109" s="99"/>
      <c r="AD109" s="99"/>
      <c r="AE109" s="99"/>
      <c r="AF109" s="99"/>
    </row>
    <row r="110" spans="1:32" s="100" customFormat="1" ht="15.6" x14ac:dyDescent="0.25">
      <c r="A110" s="93">
        <f t="shared" si="45"/>
        <v>98</v>
      </c>
      <c r="B110" s="84">
        <v>1692</v>
      </c>
      <c r="C110" s="84" t="s">
        <v>32</v>
      </c>
      <c r="D110" s="94">
        <v>2000000</v>
      </c>
      <c r="E110" s="88">
        <v>2000000</v>
      </c>
      <c r="F110" s="88">
        <f t="shared" si="35"/>
        <v>0</v>
      </c>
      <c r="G110" s="88">
        <v>1439186</v>
      </c>
      <c r="H110" s="88">
        <v>224094.42</v>
      </c>
      <c r="I110" s="88">
        <v>144231.63</v>
      </c>
      <c r="J110" s="88">
        <v>15863.38</v>
      </c>
      <c r="K110" s="88">
        <f t="shared" si="36"/>
        <v>160095.01</v>
      </c>
      <c r="L110" s="88">
        <f t="shared" si="37"/>
        <v>384189.43000000005</v>
      </c>
      <c r="M110" s="94">
        <f t="shared" si="38"/>
        <v>1054996.5699999998</v>
      </c>
      <c r="N110" s="94"/>
      <c r="O110" s="94">
        <f t="shared" si="39"/>
        <v>560814</v>
      </c>
      <c r="P110" s="94">
        <f t="shared" si="40"/>
        <v>1054996.5699999998</v>
      </c>
      <c r="Q110" s="94"/>
      <c r="R110" s="94"/>
      <c r="S110" s="94">
        <f t="shared" si="41"/>
        <v>0</v>
      </c>
      <c r="T110" s="94">
        <f t="shared" si="42"/>
        <v>0</v>
      </c>
      <c r="U110" s="94">
        <f t="shared" si="43"/>
        <v>0</v>
      </c>
      <c r="V110" s="88">
        <f t="shared" si="44"/>
        <v>0</v>
      </c>
      <c r="W110" s="88"/>
      <c r="X110" s="88"/>
      <c r="Y110" s="88"/>
      <c r="Z110" s="84">
        <v>732000</v>
      </c>
      <c r="AA110" s="87"/>
      <c r="AB110" s="87"/>
      <c r="AC110" s="87"/>
      <c r="AD110" s="87"/>
      <c r="AE110" s="87"/>
      <c r="AF110" s="87"/>
    </row>
    <row r="111" spans="1:32" s="87" customFormat="1" ht="15.75" customHeight="1" x14ac:dyDescent="0.25">
      <c r="A111" s="93">
        <f t="shared" si="45"/>
        <v>99</v>
      </c>
      <c r="B111" s="84">
        <v>1693</v>
      </c>
      <c r="C111" s="84" t="s">
        <v>320</v>
      </c>
      <c r="D111" s="94">
        <v>4500000</v>
      </c>
      <c r="E111" s="88">
        <v>4500000</v>
      </c>
      <c r="F111" s="88">
        <f t="shared" si="35"/>
        <v>0</v>
      </c>
      <c r="G111" s="88">
        <v>105000</v>
      </c>
      <c r="H111" s="88">
        <v>2000.01</v>
      </c>
      <c r="I111" s="88"/>
      <c r="J111" s="88">
        <v>96876</v>
      </c>
      <c r="K111" s="88">
        <f t="shared" si="36"/>
        <v>96876</v>
      </c>
      <c r="L111" s="88">
        <f t="shared" si="37"/>
        <v>98876.01</v>
      </c>
      <c r="M111" s="94">
        <f t="shared" si="38"/>
        <v>6123.9900000000052</v>
      </c>
      <c r="N111" s="94"/>
      <c r="O111" s="94">
        <f t="shared" si="39"/>
        <v>4395000</v>
      </c>
      <c r="P111" s="94">
        <f t="shared" si="40"/>
        <v>6123.9900000000052</v>
      </c>
      <c r="Q111" s="94"/>
      <c r="R111" s="94"/>
      <c r="S111" s="94">
        <f t="shared" si="41"/>
        <v>0</v>
      </c>
      <c r="T111" s="94">
        <f t="shared" si="42"/>
        <v>0</v>
      </c>
      <c r="U111" s="94">
        <f t="shared" si="43"/>
        <v>0</v>
      </c>
      <c r="V111" s="88">
        <f t="shared" si="44"/>
        <v>0</v>
      </c>
      <c r="W111" s="88"/>
      <c r="X111" s="88"/>
      <c r="Y111" s="88"/>
      <c r="Z111" s="84">
        <v>732000</v>
      </c>
    </row>
    <row r="112" spans="1:32" s="87" customFormat="1" ht="15" customHeight="1" x14ac:dyDescent="0.25">
      <c r="A112" s="93">
        <f t="shared" si="45"/>
        <v>100</v>
      </c>
      <c r="B112" s="84">
        <v>1756</v>
      </c>
      <c r="C112" s="84" t="s">
        <v>34</v>
      </c>
      <c r="D112" s="94">
        <v>500000</v>
      </c>
      <c r="E112" s="88">
        <v>500000</v>
      </c>
      <c r="F112" s="88">
        <f t="shared" si="35"/>
        <v>0</v>
      </c>
      <c r="G112" s="88">
        <v>400000</v>
      </c>
      <c r="H112" s="88">
        <v>74786</v>
      </c>
      <c r="I112" s="88">
        <v>58452.480000000003</v>
      </c>
      <c r="J112" s="88">
        <v>100772</v>
      </c>
      <c r="K112" s="88">
        <f t="shared" si="36"/>
        <v>159224.48000000001</v>
      </c>
      <c r="L112" s="88">
        <f t="shared" si="37"/>
        <v>234010.48</v>
      </c>
      <c r="M112" s="94">
        <f t="shared" si="38"/>
        <v>165989.51999999999</v>
      </c>
      <c r="N112" s="94"/>
      <c r="O112" s="94">
        <f t="shared" si="39"/>
        <v>100000.00000000003</v>
      </c>
      <c r="P112" s="94">
        <f t="shared" si="40"/>
        <v>165989.51999999999</v>
      </c>
      <c r="Q112" s="94"/>
      <c r="R112" s="94"/>
      <c r="S112" s="94">
        <f t="shared" si="41"/>
        <v>0</v>
      </c>
      <c r="T112" s="94">
        <f t="shared" si="42"/>
        <v>0</v>
      </c>
      <c r="U112" s="94">
        <f t="shared" si="43"/>
        <v>0</v>
      </c>
      <c r="V112" s="88">
        <f t="shared" si="44"/>
        <v>0</v>
      </c>
      <c r="W112" s="88"/>
      <c r="X112" s="88"/>
      <c r="Y112" s="88"/>
      <c r="Z112" s="84">
        <v>732000</v>
      </c>
    </row>
    <row r="113" spans="1:26" s="87" customFormat="1" x14ac:dyDescent="0.25">
      <c r="A113" s="93">
        <f t="shared" si="45"/>
        <v>101</v>
      </c>
      <c r="B113" s="84">
        <v>1757</v>
      </c>
      <c r="C113" s="84" t="s">
        <v>35</v>
      </c>
      <c r="D113" s="94">
        <v>300000</v>
      </c>
      <c r="E113" s="88">
        <v>300000</v>
      </c>
      <c r="F113" s="88">
        <f t="shared" si="35"/>
        <v>0</v>
      </c>
      <c r="G113" s="88">
        <v>300000</v>
      </c>
      <c r="H113" s="88">
        <v>0</v>
      </c>
      <c r="I113" s="88"/>
      <c r="J113" s="88">
        <v>11817</v>
      </c>
      <c r="K113" s="88">
        <f t="shared" si="36"/>
        <v>11817</v>
      </c>
      <c r="L113" s="88">
        <f t="shared" si="37"/>
        <v>11817</v>
      </c>
      <c r="M113" s="94">
        <f>P113+S113-190000</f>
        <v>98183</v>
      </c>
      <c r="N113" s="94"/>
      <c r="O113" s="94">
        <f t="shared" si="39"/>
        <v>190000</v>
      </c>
      <c r="P113" s="94">
        <f t="shared" si="40"/>
        <v>288183</v>
      </c>
      <c r="Q113" s="94"/>
      <c r="R113" s="94"/>
      <c r="S113" s="94">
        <f t="shared" si="41"/>
        <v>0</v>
      </c>
      <c r="T113" s="94">
        <f t="shared" si="42"/>
        <v>190000</v>
      </c>
      <c r="U113" s="94">
        <f t="shared" si="43"/>
        <v>-190000</v>
      </c>
      <c r="V113" s="88">
        <f t="shared" si="44"/>
        <v>-190000</v>
      </c>
      <c r="W113" s="88"/>
      <c r="X113" s="88"/>
      <c r="Y113" s="88"/>
      <c r="Z113" s="84">
        <v>732000</v>
      </c>
    </row>
    <row r="114" spans="1:26" s="87" customFormat="1" x14ac:dyDescent="0.25">
      <c r="A114" s="93">
        <f t="shared" si="45"/>
        <v>102</v>
      </c>
      <c r="B114" s="84">
        <v>1758</v>
      </c>
      <c r="C114" s="84" t="s">
        <v>253</v>
      </c>
      <c r="D114" s="94">
        <v>300000</v>
      </c>
      <c r="E114" s="88">
        <v>300000</v>
      </c>
      <c r="F114" s="88">
        <f t="shared" si="35"/>
        <v>0</v>
      </c>
      <c r="G114" s="88">
        <v>300000</v>
      </c>
      <c r="H114" s="88">
        <v>0</v>
      </c>
      <c r="I114" s="88">
        <v>380.25</v>
      </c>
      <c r="J114" s="88">
        <v>15736.5</v>
      </c>
      <c r="K114" s="88">
        <f t="shared" si="36"/>
        <v>16116.75</v>
      </c>
      <c r="L114" s="88">
        <f t="shared" si="37"/>
        <v>16116.75</v>
      </c>
      <c r="M114" s="94">
        <f>P114+S114-180000</f>
        <v>103883.25</v>
      </c>
      <c r="N114" s="94"/>
      <c r="O114" s="94">
        <f t="shared" si="39"/>
        <v>180000</v>
      </c>
      <c r="P114" s="94">
        <f t="shared" si="40"/>
        <v>283883.25</v>
      </c>
      <c r="Q114" s="94"/>
      <c r="R114" s="94"/>
      <c r="S114" s="94">
        <f t="shared" si="41"/>
        <v>0</v>
      </c>
      <c r="T114" s="94">
        <f t="shared" si="42"/>
        <v>180000</v>
      </c>
      <c r="U114" s="94">
        <f t="shared" si="43"/>
        <v>-180000</v>
      </c>
      <c r="V114" s="88">
        <f t="shared" si="44"/>
        <v>-180000</v>
      </c>
      <c r="W114" s="88"/>
      <c r="X114" s="88"/>
      <c r="Y114" s="88"/>
      <c r="Z114" s="84">
        <v>732000</v>
      </c>
    </row>
    <row r="115" spans="1:26" s="87" customFormat="1" x14ac:dyDescent="0.25">
      <c r="A115" s="93">
        <f t="shared" si="45"/>
        <v>103</v>
      </c>
      <c r="B115" s="84">
        <v>1759</v>
      </c>
      <c r="C115" s="84" t="s">
        <v>37</v>
      </c>
      <c r="D115" s="94">
        <v>600000</v>
      </c>
      <c r="E115" s="88">
        <v>600000</v>
      </c>
      <c r="F115" s="88">
        <f t="shared" si="35"/>
        <v>0</v>
      </c>
      <c r="G115" s="88">
        <v>500000</v>
      </c>
      <c r="H115" s="88">
        <v>432445</v>
      </c>
      <c r="I115" s="88">
        <v>17151.75</v>
      </c>
      <c r="J115" s="88">
        <v>47210</v>
      </c>
      <c r="K115" s="88">
        <f t="shared" si="36"/>
        <v>64361.75</v>
      </c>
      <c r="L115" s="88">
        <f t="shared" si="37"/>
        <v>496806.75</v>
      </c>
      <c r="M115" s="94">
        <f t="shared" si="38"/>
        <v>3193.25</v>
      </c>
      <c r="N115" s="94"/>
      <c r="O115" s="94">
        <f t="shared" si="39"/>
        <v>100000</v>
      </c>
      <c r="P115" s="94">
        <f t="shared" si="40"/>
        <v>3193.25</v>
      </c>
      <c r="Q115" s="94"/>
      <c r="R115" s="94"/>
      <c r="S115" s="94">
        <f t="shared" si="41"/>
        <v>0</v>
      </c>
      <c r="T115" s="94">
        <f t="shared" si="42"/>
        <v>0</v>
      </c>
      <c r="U115" s="94">
        <f t="shared" si="43"/>
        <v>0</v>
      </c>
      <c r="V115" s="88">
        <f t="shared" si="44"/>
        <v>0</v>
      </c>
      <c r="W115" s="88"/>
      <c r="X115" s="88"/>
      <c r="Y115" s="84"/>
      <c r="Z115" s="84">
        <v>732000</v>
      </c>
    </row>
    <row r="116" spans="1:26" s="87" customFormat="1" ht="27.6" x14ac:dyDescent="0.25">
      <c r="A116" s="93">
        <f t="shared" si="45"/>
        <v>104</v>
      </c>
      <c r="B116" s="84">
        <v>1761</v>
      </c>
      <c r="C116" s="84" t="s">
        <v>39</v>
      </c>
      <c r="D116" s="94">
        <v>400000</v>
      </c>
      <c r="E116" s="88">
        <v>400000</v>
      </c>
      <c r="F116" s="88">
        <f t="shared" si="35"/>
        <v>0</v>
      </c>
      <c r="G116" s="88">
        <v>150000</v>
      </c>
      <c r="H116" s="88">
        <v>0</v>
      </c>
      <c r="I116" s="88"/>
      <c r="J116" s="88"/>
      <c r="K116" s="88">
        <f t="shared" si="36"/>
        <v>0</v>
      </c>
      <c r="L116" s="88">
        <f t="shared" si="37"/>
        <v>0</v>
      </c>
      <c r="M116" s="94">
        <f t="shared" si="38"/>
        <v>150000</v>
      </c>
      <c r="N116" s="94"/>
      <c r="O116" s="94">
        <f t="shared" si="39"/>
        <v>250000</v>
      </c>
      <c r="P116" s="94">
        <f t="shared" si="40"/>
        <v>150000</v>
      </c>
      <c r="Q116" s="94"/>
      <c r="R116" s="94"/>
      <c r="S116" s="94">
        <f t="shared" si="41"/>
        <v>0</v>
      </c>
      <c r="T116" s="94">
        <f t="shared" si="42"/>
        <v>0</v>
      </c>
      <c r="U116" s="94">
        <f t="shared" si="43"/>
        <v>0</v>
      </c>
      <c r="V116" s="88">
        <f t="shared" si="44"/>
        <v>0</v>
      </c>
      <c r="W116" s="88"/>
      <c r="X116" s="88"/>
      <c r="Y116" s="84"/>
      <c r="Z116" s="84">
        <v>732000</v>
      </c>
    </row>
    <row r="117" spans="1:26" s="87" customFormat="1" x14ac:dyDescent="0.25">
      <c r="A117" s="93">
        <f t="shared" si="45"/>
        <v>105</v>
      </c>
      <c r="B117" s="84">
        <v>1811</v>
      </c>
      <c r="C117" s="84" t="s">
        <v>284</v>
      </c>
      <c r="D117" s="94">
        <v>250000</v>
      </c>
      <c r="E117" s="88">
        <v>250000</v>
      </c>
      <c r="F117" s="88">
        <f t="shared" si="35"/>
        <v>0</v>
      </c>
      <c r="G117" s="88">
        <v>250000</v>
      </c>
      <c r="H117" s="88">
        <v>0</v>
      </c>
      <c r="I117" s="88"/>
      <c r="J117" s="88"/>
      <c r="K117" s="88">
        <f t="shared" si="36"/>
        <v>0</v>
      </c>
      <c r="L117" s="88">
        <f t="shared" si="37"/>
        <v>0</v>
      </c>
      <c r="M117" s="94">
        <f t="shared" si="38"/>
        <v>250000</v>
      </c>
      <c r="N117" s="94"/>
      <c r="O117" s="94">
        <f t="shared" si="39"/>
        <v>0</v>
      </c>
      <c r="P117" s="94">
        <f t="shared" si="40"/>
        <v>250000</v>
      </c>
      <c r="Q117" s="94"/>
      <c r="R117" s="94"/>
      <c r="S117" s="94">
        <f t="shared" si="41"/>
        <v>0</v>
      </c>
      <c r="T117" s="94">
        <f t="shared" si="42"/>
        <v>0</v>
      </c>
      <c r="U117" s="94">
        <f t="shared" si="43"/>
        <v>0</v>
      </c>
      <c r="V117" s="88">
        <f t="shared" si="44"/>
        <v>0</v>
      </c>
      <c r="W117" s="88"/>
      <c r="X117" s="88"/>
      <c r="Y117" s="88"/>
      <c r="Z117" s="84">
        <v>732000</v>
      </c>
    </row>
    <row r="118" spans="1:26" s="87" customFormat="1" x14ac:dyDescent="0.25">
      <c r="A118" s="93">
        <f t="shared" si="45"/>
        <v>106</v>
      </c>
      <c r="B118" s="84">
        <v>1843</v>
      </c>
      <c r="C118" s="84" t="s">
        <v>314</v>
      </c>
      <c r="D118" s="94">
        <v>70000</v>
      </c>
      <c r="E118" s="88">
        <v>70000</v>
      </c>
      <c r="F118" s="88"/>
      <c r="G118" s="88">
        <v>70000</v>
      </c>
      <c r="H118" s="88">
        <v>0</v>
      </c>
      <c r="I118" s="88"/>
      <c r="J118" s="88">
        <v>1.17</v>
      </c>
      <c r="K118" s="88">
        <f t="shared" si="36"/>
        <v>1.17</v>
      </c>
      <c r="L118" s="88">
        <f t="shared" si="37"/>
        <v>1.17</v>
      </c>
      <c r="M118" s="94">
        <f t="shared" si="38"/>
        <v>69998.83</v>
      </c>
      <c r="N118" s="94"/>
      <c r="O118" s="94">
        <f t="shared" si="39"/>
        <v>0</v>
      </c>
      <c r="P118" s="94">
        <f t="shared" si="40"/>
        <v>69998.83</v>
      </c>
      <c r="Q118" s="94"/>
      <c r="R118" s="94"/>
      <c r="S118" s="94">
        <f t="shared" si="41"/>
        <v>0</v>
      </c>
      <c r="T118" s="94">
        <f t="shared" si="42"/>
        <v>0</v>
      </c>
      <c r="U118" s="94">
        <f t="shared" si="43"/>
        <v>0</v>
      </c>
      <c r="V118" s="88">
        <f t="shared" si="44"/>
        <v>0</v>
      </c>
      <c r="W118" s="88"/>
      <c r="X118" s="88"/>
      <c r="Y118" s="84"/>
      <c r="Z118" s="84">
        <v>732000</v>
      </c>
    </row>
    <row r="119" spans="1:26" s="87" customFormat="1" x14ac:dyDescent="0.25">
      <c r="A119" s="93">
        <f t="shared" si="45"/>
        <v>107</v>
      </c>
      <c r="B119" s="84">
        <v>1844</v>
      </c>
      <c r="C119" s="84" t="s">
        <v>315</v>
      </c>
      <c r="D119" s="94">
        <v>732000</v>
      </c>
      <c r="E119" s="88">
        <v>732000</v>
      </c>
      <c r="F119" s="88"/>
      <c r="G119" s="88">
        <v>70000</v>
      </c>
      <c r="H119" s="88">
        <v>0</v>
      </c>
      <c r="I119" s="88"/>
      <c r="J119" s="88">
        <v>1.17</v>
      </c>
      <c r="K119" s="88">
        <f t="shared" si="36"/>
        <v>1.17</v>
      </c>
      <c r="L119" s="88">
        <f t="shared" si="37"/>
        <v>1.17</v>
      </c>
      <c r="M119" s="94">
        <f t="shared" si="38"/>
        <v>69998.83</v>
      </c>
      <c r="N119" s="94"/>
      <c r="O119" s="94">
        <f t="shared" si="39"/>
        <v>662000</v>
      </c>
      <c r="P119" s="94">
        <f t="shared" si="40"/>
        <v>69998.83</v>
      </c>
      <c r="Q119" s="94"/>
      <c r="R119" s="94"/>
      <c r="S119" s="94">
        <f t="shared" si="41"/>
        <v>0</v>
      </c>
      <c r="T119" s="94">
        <f t="shared" si="42"/>
        <v>0</v>
      </c>
      <c r="U119" s="94">
        <f t="shared" si="43"/>
        <v>0</v>
      </c>
      <c r="V119" s="88">
        <f t="shared" si="44"/>
        <v>0</v>
      </c>
      <c r="W119" s="88"/>
      <c r="X119" s="88"/>
      <c r="Y119" s="84"/>
      <c r="Z119" s="84">
        <v>732000</v>
      </c>
    </row>
    <row r="120" spans="1:26" s="92" customFormat="1" x14ac:dyDescent="0.25">
      <c r="A120" s="108"/>
      <c r="B120" s="90"/>
      <c r="C120" s="90" t="s">
        <v>439</v>
      </c>
      <c r="D120" s="160">
        <f t="shared" ref="D120:V120" si="46">SUM(D104:D119)</f>
        <v>22402000</v>
      </c>
      <c r="E120" s="91">
        <f t="shared" si="46"/>
        <v>21502000</v>
      </c>
      <c r="F120" s="91">
        <f t="shared" si="46"/>
        <v>900000</v>
      </c>
      <c r="G120" s="91">
        <f t="shared" si="46"/>
        <v>13184186</v>
      </c>
      <c r="H120" s="91">
        <f t="shared" si="46"/>
        <v>5288578.7699999996</v>
      </c>
      <c r="I120" s="91">
        <f t="shared" si="46"/>
        <v>728968.36</v>
      </c>
      <c r="J120" s="91">
        <f t="shared" si="46"/>
        <v>1818190.0699999996</v>
      </c>
      <c r="K120" s="91">
        <f t="shared" si="46"/>
        <v>2547158.4300000002</v>
      </c>
      <c r="L120" s="91">
        <f t="shared" si="46"/>
        <v>7835737.2000000002</v>
      </c>
      <c r="M120" s="160">
        <f t="shared" si="46"/>
        <v>4278448.8</v>
      </c>
      <c r="N120" s="160">
        <f t="shared" si="46"/>
        <v>600000</v>
      </c>
      <c r="O120" s="160">
        <f t="shared" si="46"/>
        <v>9687814</v>
      </c>
      <c r="P120" s="160">
        <f t="shared" si="46"/>
        <v>5348448.8</v>
      </c>
      <c r="Q120" s="160">
        <f t="shared" si="46"/>
        <v>300000</v>
      </c>
      <c r="R120" s="160">
        <f t="shared" si="46"/>
        <v>0</v>
      </c>
      <c r="S120" s="160">
        <f t="shared" si="46"/>
        <v>300000</v>
      </c>
      <c r="T120" s="160">
        <f t="shared" si="46"/>
        <v>1370000</v>
      </c>
      <c r="U120" s="160">
        <f t="shared" si="46"/>
        <v>-770000</v>
      </c>
      <c r="V120" s="91">
        <f t="shared" si="46"/>
        <v>-770000</v>
      </c>
      <c r="W120" s="91">
        <f>SUM(W104:W119)</f>
        <v>0</v>
      </c>
      <c r="X120" s="91">
        <f>SUM(X104:X119)</f>
        <v>0</v>
      </c>
      <c r="Y120" s="91">
        <f>SUM(Y104:Y119)</f>
        <v>0</v>
      </c>
      <c r="Z120" s="91"/>
    </row>
    <row r="121" spans="1:26" s="87" customFormat="1" x14ac:dyDescent="0.25">
      <c r="A121" s="84"/>
      <c r="B121" s="84"/>
      <c r="C121" s="84"/>
      <c r="D121" s="94"/>
      <c r="E121" s="88"/>
      <c r="F121" s="88"/>
      <c r="G121" s="88"/>
      <c r="H121" s="88"/>
      <c r="I121" s="88"/>
      <c r="J121" s="88"/>
      <c r="K121" s="88"/>
      <c r="L121" s="88"/>
      <c r="M121" s="94"/>
      <c r="N121" s="94"/>
      <c r="O121" s="94"/>
      <c r="P121" s="94"/>
      <c r="Q121" s="94"/>
      <c r="R121" s="94"/>
      <c r="S121" s="94"/>
      <c r="T121" s="94"/>
      <c r="U121" s="94"/>
      <c r="V121" s="88"/>
      <c r="W121" s="88"/>
      <c r="X121" s="88"/>
      <c r="Y121" s="84"/>
      <c r="Z121" s="84"/>
    </row>
    <row r="122" spans="1:26" s="103" customFormat="1" ht="15.6" x14ac:dyDescent="0.25">
      <c r="A122" s="101">
        <f>A119</f>
        <v>107</v>
      </c>
      <c r="B122" s="101"/>
      <c r="C122" s="102" t="s">
        <v>103</v>
      </c>
      <c r="D122" s="210">
        <f t="shared" ref="D122:Y122" si="47">D120+D101+D73</f>
        <v>693014769</v>
      </c>
      <c r="E122" s="210">
        <f t="shared" si="47"/>
        <v>596043468</v>
      </c>
      <c r="F122" s="210">
        <f t="shared" si="47"/>
        <v>96971301</v>
      </c>
      <c r="G122" s="210">
        <f t="shared" si="47"/>
        <v>404262285</v>
      </c>
      <c r="H122" s="210">
        <f t="shared" si="47"/>
        <v>325615379.21999997</v>
      </c>
      <c r="I122" s="210">
        <f t="shared" si="47"/>
        <v>10485657.759999998</v>
      </c>
      <c r="J122" s="210">
        <f t="shared" si="47"/>
        <v>9127528.2300000004</v>
      </c>
      <c r="K122" s="210">
        <f t="shared" si="47"/>
        <v>19613185.990000002</v>
      </c>
      <c r="L122" s="210">
        <f t="shared" si="47"/>
        <v>345228565.20999992</v>
      </c>
      <c r="M122" s="210">
        <f t="shared" si="47"/>
        <v>60905719.790000007</v>
      </c>
      <c r="N122" s="210">
        <f t="shared" si="47"/>
        <v>33487931</v>
      </c>
      <c r="O122" s="210">
        <f t="shared" si="47"/>
        <v>253392553</v>
      </c>
      <c r="P122" s="210">
        <f t="shared" si="47"/>
        <v>59033719.789999999</v>
      </c>
      <c r="Q122" s="210">
        <f t="shared" si="47"/>
        <v>7715000</v>
      </c>
      <c r="R122" s="210">
        <f t="shared" si="47"/>
        <v>10150000</v>
      </c>
      <c r="S122" s="210">
        <f t="shared" si="47"/>
        <v>17865000</v>
      </c>
      <c r="T122" s="210">
        <f t="shared" si="47"/>
        <v>15993000</v>
      </c>
      <c r="U122" s="210">
        <f t="shared" si="47"/>
        <v>17494931</v>
      </c>
      <c r="V122" s="210">
        <f t="shared" si="47"/>
        <v>-14023000</v>
      </c>
      <c r="W122" s="210">
        <f t="shared" si="47"/>
        <v>0</v>
      </c>
      <c r="X122" s="210">
        <f t="shared" si="47"/>
        <v>0</v>
      </c>
      <c r="Y122" s="210">
        <f t="shared" si="47"/>
        <v>31517931</v>
      </c>
      <c r="Z122" s="101"/>
    </row>
    <row r="123" spans="1:26" s="103" customFormat="1" ht="15.6" x14ac:dyDescent="0.25">
      <c r="A123" s="101"/>
      <c r="B123" s="101"/>
      <c r="C123" s="102"/>
      <c r="D123" s="233"/>
      <c r="E123" s="101"/>
      <c r="F123" s="101"/>
      <c r="G123" s="101"/>
      <c r="H123" s="101"/>
      <c r="I123" s="101"/>
      <c r="J123" s="101"/>
      <c r="K123" s="101"/>
      <c r="L123" s="101"/>
      <c r="M123" s="210"/>
      <c r="N123" s="210"/>
      <c r="O123" s="210"/>
      <c r="P123" s="210"/>
      <c r="Q123" s="210"/>
      <c r="R123" s="210"/>
      <c r="S123" s="210"/>
      <c r="T123" s="210"/>
      <c r="U123" s="210"/>
      <c r="V123" s="101"/>
      <c r="W123" s="101"/>
      <c r="X123" s="101"/>
      <c r="Y123" s="101"/>
      <c r="Z123" s="101"/>
    </row>
    <row r="124" spans="1:26" s="103" customFormat="1" ht="15.6" x14ac:dyDescent="0.25">
      <c r="A124" s="101"/>
      <c r="B124" s="101"/>
      <c r="C124" s="102"/>
      <c r="D124" s="233"/>
      <c r="E124" s="101"/>
      <c r="F124" s="101"/>
      <c r="G124" s="101"/>
      <c r="H124" s="101"/>
      <c r="I124" s="101"/>
      <c r="J124" s="101"/>
      <c r="K124" s="101"/>
      <c r="L124" s="101"/>
      <c r="M124" s="210"/>
      <c r="N124" s="210"/>
      <c r="O124" s="210"/>
      <c r="P124" s="210"/>
      <c r="Q124" s="210"/>
      <c r="R124" s="210"/>
      <c r="S124" s="210"/>
      <c r="T124" s="210"/>
      <c r="U124" s="210"/>
      <c r="V124" s="101"/>
      <c r="W124" s="101"/>
      <c r="X124" s="101"/>
      <c r="Y124" s="101"/>
      <c r="Z124" s="101"/>
    </row>
    <row r="126" spans="1:26" x14ac:dyDescent="0.25">
      <c r="L126" s="104">
        <f>H122+K122</f>
        <v>345228565.20999998</v>
      </c>
      <c r="M126" s="234">
        <f>P122+S122-T122</f>
        <v>60905719.789999992</v>
      </c>
      <c r="P126" s="234">
        <f>G122-L122</f>
        <v>59033719.790000081</v>
      </c>
    </row>
    <row r="127" spans="1:26" x14ac:dyDescent="0.25">
      <c r="U127" s="213"/>
    </row>
    <row r="128" spans="1:26" hidden="1" x14ac:dyDescent="0.25">
      <c r="N128" s="213" t="s">
        <v>422</v>
      </c>
      <c r="O128" s="213" t="s">
        <v>411</v>
      </c>
      <c r="P128" s="211" t="s">
        <v>414</v>
      </c>
      <c r="Q128" s="234">
        <f>'[1]הנדסה '!$AZ$209</f>
        <v>7715000</v>
      </c>
    </row>
    <row r="129" spans="14:18" hidden="1" x14ac:dyDescent="0.25">
      <c r="N129" s="213" t="s">
        <v>527</v>
      </c>
      <c r="P129" s="211"/>
      <c r="Q129" s="246">
        <f>'[3]הנדסה '!$BA$178</f>
        <v>6915000</v>
      </c>
    </row>
    <row r="130" spans="14:18" hidden="1" x14ac:dyDescent="0.25">
      <c r="P130" s="211"/>
      <c r="Q130" s="246">
        <f>Q128-Q129</f>
        <v>800000</v>
      </c>
    </row>
    <row r="131" spans="14:18" hidden="1" x14ac:dyDescent="0.25">
      <c r="N131" s="213" t="s">
        <v>555</v>
      </c>
      <c r="O131" s="213" t="s">
        <v>557</v>
      </c>
      <c r="P131" s="246">
        <v>300000</v>
      </c>
      <c r="Q131" s="246"/>
    </row>
    <row r="132" spans="14:18" hidden="1" x14ac:dyDescent="0.25">
      <c r="N132" s="213" t="s">
        <v>556</v>
      </c>
      <c r="P132" s="213">
        <v>500000</v>
      </c>
      <c r="Q132" s="213">
        <f>SUM(P131:P132)</f>
        <v>800000</v>
      </c>
    </row>
    <row r="133" spans="14:18" hidden="1" x14ac:dyDescent="0.25">
      <c r="N133" s="213" t="s">
        <v>426</v>
      </c>
      <c r="P133" s="211" t="s">
        <v>414</v>
      </c>
      <c r="R133" s="213">
        <f>'[1]ריכוז תקציבים מעבר לתוכנית 31.8'!$AD$24</f>
        <v>12650000</v>
      </c>
    </row>
    <row r="134" spans="14:18" hidden="1" x14ac:dyDescent="0.25">
      <c r="N134" s="213" t="s">
        <v>440</v>
      </c>
      <c r="R134" s="213">
        <f>'פרוט החב. לפיתוח'!$R$136</f>
        <v>2500000</v>
      </c>
    </row>
    <row r="135" spans="14:18" hidden="1" x14ac:dyDescent="0.25">
      <c r="R135" s="234">
        <f>R133-R134</f>
        <v>10150000</v>
      </c>
    </row>
    <row r="136" spans="14:18" hidden="1" x14ac:dyDescent="0.25"/>
    <row r="137" spans="14:18" hidden="1" x14ac:dyDescent="0.25"/>
    <row r="138" spans="14:18" hidden="1" x14ac:dyDescent="0.25">
      <c r="Q138" s="213" t="s">
        <v>516</v>
      </c>
      <c r="R138" s="213">
        <v>1450000</v>
      </c>
    </row>
    <row r="139" spans="14:18" hidden="1" x14ac:dyDescent="0.25"/>
    <row r="140" spans="14:18" hidden="1" x14ac:dyDescent="0.25">
      <c r="R140" s="213">
        <f>R135-R138</f>
        <v>8700000</v>
      </c>
    </row>
    <row r="141" spans="14:18" hidden="1" x14ac:dyDescent="0.25"/>
    <row r="142" spans="14:18" hidden="1" x14ac:dyDescent="0.25">
      <c r="P142" s="213" t="s">
        <v>530</v>
      </c>
      <c r="Q142" s="247">
        <v>1744</v>
      </c>
      <c r="R142" s="213">
        <v>6200000</v>
      </c>
    </row>
    <row r="143" spans="14:18" hidden="1" x14ac:dyDescent="0.25">
      <c r="P143" s="213" t="s">
        <v>530</v>
      </c>
      <c r="Q143" s="247">
        <v>1943</v>
      </c>
      <c r="R143" s="213">
        <v>2500000</v>
      </c>
    </row>
    <row r="144" spans="14:18" hidden="1" x14ac:dyDescent="0.25">
      <c r="R144" s="213">
        <f>SUM(R142:R143)</f>
        <v>8700000</v>
      </c>
    </row>
    <row r="145" hidden="1" x14ac:dyDescent="0.25"/>
  </sheetData>
  <sheetProtection algorithmName="SHA-512" hashValue="tPmCgPX9RlynUAbJXMI1AnEatknoFVrgfOYlhLTIXYtIFodut47/zzZfPfKPdYZIftup+oObVJUpnD9nY5ajyA==" saltValue="+NqkVy2PhYaJgrvbA51+9g==" spinCount="100000" sheet="1" formatCells="0" formatColumns="0" formatRows="0" insertColumns="0" insertRows="0" insertHyperlinks="0" deleteColumns="0" deleteRows="0" sort="0" autoFilter="0" pivotTables="0"/>
  <sortState ref="A8:AM96">
    <sortCondition ref="B8:B96"/>
  </sortState>
  <mergeCells count="1">
    <mergeCell ref="A2:Y2"/>
  </mergeCells>
  <printOptions horizontalCentered="1"/>
  <pageMargins left="0" right="0" top="1.3385826771653544" bottom="0.74803149606299213" header="0.9055118110236221" footer="0.31496062992125984"/>
  <pageSetup paperSize="9" scale="85" fitToHeight="0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topLeftCell="A16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2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2" spans="1:17" ht="21" x14ac:dyDescent="0.25">
      <c r="A2" s="258"/>
      <c r="C2" s="255" t="s">
        <v>709</v>
      </c>
      <c r="D2" s="258"/>
      <c r="E2" s="258"/>
      <c r="F2" s="258"/>
      <c r="G2" s="258"/>
      <c r="H2" s="258"/>
      <c r="I2" s="258"/>
      <c r="J2" s="258"/>
      <c r="K2" s="258"/>
      <c r="L2" s="258"/>
    </row>
    <row r="3" spans="1:17" ht="21.6" thickBot="1" x14ac:dyDescent="0.3">
      <c r="A3" s="258"/>
      <c r="C3" s="255"/>
      <c r="D3" s="258"/>
      <c r="E3" s="258"/>
      <c r="F3" s="258"/>
      <c r="G3" s="258"/>
      <c r="H3" s="258"/>
      <c r="I3" s="258"/>
      <c r="J3" s="258"/>
      <c r="K3" s="258"/>
      <c r="L3" s="258"/>
    </row>
    <row r="4" spans="1:17" ht="16.2" thickBot="1" x14ac:dyDescent="0.3">
      <c r="A4" s="258"/>
      <c r="B4" s="343" t="s">
        <v>588</v>
      </c>
      <c r="C4" s="258" t="s">
        <v>708</v>
      </c>
      <c r="D4" s="258"/>
      <c r="E4" s="258"/>
      <c r="F4" s="360">
        <f>'פרוט החב. לפיתוח'!U110</f>
        <v>331656816</v>
      </c>
      <c r="I4" s="258"/>
      <c r="J4" s="258"/>
      <c r="K4" s="258"/>
      <c r="L4" s="258"/>
    </row>
    <row r="5" spans="1:17" ht="21.6" thickBot="1" x14ac:dyDescent="0.3">
      <c r="A5" s="258"/>
      <c r="C5" s="255"/>
      <c r="D5" s="258"/>
      <c r="E5" s="258"/>
      <c r="F5" s="258"/>
      <c r="H5" s="258"/>
      <c r="I5" s="258"/>
      <c r="J5" s="258"/>
      <c r="K5" s="258"/>
      <c r="L5" s="258"/>
    </row>
    <row r="6" spans="1:17" ht="16.2" thickBot="1" x14ac:dyDescent="0.3">
      <c r="B6" s="343" t="s">
        <v>588</v>
      </c>
      <c r="C6" s="258" t="s">
        <v>707</v>
      </c>
      <c r="D6" s="258"/>
      <c r="F6" s="361">
        <f>'פרוט החב. לפיתוח'!A110</f>
        <v>99</v>
      </c>
      <c r="I6" s="258"/>
      <c r="J6" s="258"/>
      <c r="K6" s="258"/>
      <c r="L6" s="258"/>
      <c r="M6" s="258"/>
      <c r="N6" s="258"/>
      <c r="O6" s="258"/>
      <c r="P6" s="258"/>
      <c r="Q6" s="258"/>
    </row>
    <row r="7" spans="1:17" ht="15.6" x14ac:dyDescent="0.25">
      <c r="B7" s="343"/>
      <c r="C7" s="258"/>
      <c r="D7" s="258"/>
      <c r="E7" s="258"/>
      <c r="F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 t="s">
        <v>588</v>
      </c>
      <c r="C8" s="258" t="s">
        <v>698</v>
      </c>
      <c r="D8" s="258"/>
      <c r="E8" s="258"/>
      <c r="F8" s="258"/>
      <c r="G8" s="258"/>
      <c r="H8" s="258"/>
      <c r="I8" s="258"/>
      <c r="J8" s="258"/>
      <c r="K8" s="258"/>
      <c r="L8" s="258"/>
    </row>
    <row r="9" spans="1:17" ht="16.2" thickBot="1" x14ac:dyDescent="0.3"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D10" s="359" t="s">
        <v>571</v>
      </c>
      <c r="E10" s="353" t="s">
        <v>693</v>
      </c>
      <c r="F10" s="352" t="s">
        <v>697</v>
      </c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C11" s="343"/>
      <c r="D11" s="351" t="s">
        <v>13</v>
      </c>
      <c r="E11" s="365">
        <f>'פרוט החב. לפיתוח'!V110</f>
        <v>137680940.30000001</v>
      </c>
      <c r="F11" s="362">
        <f>E11/$E$14</f>
        <v>0.41513074255648652</v>
      </c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14</v>
      </c>
      <c r="E12" s="365">
        <f>'פרוט החב. לפיתוח'!W110</f>
        <v>6500000</v>
      </c>
      <c r="F12" s="362">
        <f>E12/$E$14</f>
        <v>1.9598572037186776E-2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223</v>
      </c>
      <c r="E13" s="365">
        <f>'פרוט החב. לפיתוח'!Y110</f>
        <v>187475875.69999999</v>
      </c>
      <c r="F13" s="362">
        <f>E13/$E$14</f>
        <v>0.56527068540632674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6.2" thickBot="1" x14ac:dyDescent="0.3">
      <c r="C14" s="343"/>
      <c r="D14" s="350" t="s">
        <v>248</v>
      </c>
      <c r="E14" s="366">
        <f>SUM(E11:E13)</f>
        <v>331656816</v>
      </c>
      <c r="F14" s="363">
        <f>SUM(F11:F13)</f>
        <v>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5.6" x14ac:dyDescent="0.25">
      <c r="B15" s="343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 t="s">
        <v>588</v>
      </c>
      <c r="C16" s="258" t="s">
        <v>706</v>
      </c>
      <c r="D16" s="258"/>
      <c r="F16" s="258"/>
      <c r="H16" s="265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3:17" ht="16.2" thickBot="1" x14ac:dyDescent="0.3">
      <c r="C17" s="258"/>
      <c r="D17" s="258"/>
      <c r="E17" s="258"/>
      <c r="F17" s="258"/>
      <c r="H17" s="258"/>
      <c r="I17" s="258"/>
      <c r="J17" s="258"/>
      <c r="K17" s="258"/>
      <c r="L17" s="258"/>
    </row>
    <row r="18" spans="3:17" ht="15.6" x14ac:dyDescent="0.25">
      <c r="D18" s="359" t="s">
        <v>705</v>
      </c>
      <c r="E18" s="358" t="s">
        <v>693</v>
      </c>
      <c r="F18" s="294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3:17" ht="15.6" x14ac:dyDescent="0.25">
      <c r="C19" s="343"/>
      <c r="D19" s="351" t="s">
        <v>714</v>
      </c>
      <c r="E19" s="369">
        <f>'פרוט החב. לפיתוח'!U108</f>
        <v>162913738</v>
      </c>
      <c r="F19" s="265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3:17" ht="15.6" x14ac:dyDescent="0.25">
      <c r="C20" s="343"/>
      <c r="D20" s="351" t="s">
        <v>715</v>
      </c>
      <c r="E20" s="369">
        <f>'פרוט החב. לפיתוח'!U84</f>
        <v>168743078</v>
      </c>
      <c r="F20" s="265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  <row r="21" spans="3:17" ht="15.6" x14ac:dyDescent="0.25">
      <c r="C21" s="343"/>
      <c r="D21" s="351" t="s">
        <v>716</v>
      </c>
      <c r="E21" s="367"/>
      <c r="F21" s="265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</row>
    <row r="22" spans="3:17" ht="15.6" x14ac:dyDescent="0.25">
      <c r="C22" s="343"/>
      <c r="D22" s="351" t="s">
        <v>829</v>
      </c>
      <c r="E22" s="367">
        <f>'פרוט החב. לפיתוח'!U6</f>
        <v>8900600</v>
      </c>
      <c r="F22" s="265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3:17" ht="15.6" x14ac:dyDescent="0.25">
      <c r="C23" s="343"/>
      <c r="D23" s="351" t="str">
        <f>'פרוט החב. לפיתוח'!C9</f>
        <v>פיתוח מתחם המסילה ודב הוז</v>
      </c>
      <c r="E23" s="367">
        <f>'פרוט החב. לפיתוח'!U9</f>
        <v>6400000</v>
      </c>
      <c r="F23" s="265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3:17" ht="15.6" x14ac:dyDescent="0.25">
      <c r="C24" s="343"/>
      <c r="D24" s="351" t="str">
        <f>'פרוט החב. לפיתוח'!C21</f>
        <v>מבנה תרבות במערב העיר</v>
      </c>
      <c r="E24" s="367">
        <f>'פרוט החב. לפיתוח'!U21</f>
        <v>5000000</v>
      </c>
      <c r="F24" s="265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  <row r="25" spans="3:17" ht="15.6" x14ac:dyDescent="0.25">
      <c r="C25" s="343"/>
      <c r="D25" s="351" t="s">
        <v>710</v>
      </c>
      <c r="E25" s="367">
        <f>'פרוט החב. לפיתוח'!U22</f>
        <v>27660000</v>
      </c>
      <c r="F25" s="265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3:17" ht="15.6" x14ac:dyDescent="0.25">
      <c r="C26" s="343"/>
      <c r="D26" s="351" t="str">
        <f>'פרוט החב. לפיתוח'!C30</f>
        <v>פיתוח מתחם אלוני ים הר' 2030</v>
      </c>
      <c r="E26" s="367">
        <f>'פרוט החב. לפיתוח'!U30</f>
        <v>5000000</v>
      </c>
      <c r="F26" s="265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</row>
    <row r="27" spans="3:17" ht="15.6" x14ac:dyDescent="0.25">
      <c r="C27" s="343"/>
      <c r="D27" s="351" t="str">
        <f>'פרוט החב. לפיתוח'!C33</f>
        <v>פיתוח מתחם הר' 1903</v>
      </c>
      <c r="E27" s="367">
        <f>'פרוט החב. לפיתוח'!U33</f>
        <v>10000000</v>
      </c>
      <c r="F27" s="265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</row>
    <row r="28" spans="3:17" ht="15.6" x14ac:dyDescent="0.25">
      <c r="C28" s="343"/>
      <c r="D28" s="351" t="str">
        <f>'פרוט החב. לפיתוח'!C37</f>
        <v>פיתוח מתחם "מרינה לי"</v>
      </c>
      <c r="E28" s="367">
        <f>'פרוט החב. לפיתוח'!U37</f>
        <v>14000000</v>
      </c>
      <c r="F28" s="265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</row>
    <row r="29" spans="3:17" ht="15.6" x14ac:dyDescent="0.25">
      <c r="C29" s="343"/>
      <c r="D29" s="351" t="str">
        <f>'פרוט החב. לפיתוח'!C38</f>
        <v>כיכר בן גוריון הבנים</v>
      </c>
      <c r="E29" s="367">
        <f>'פרוט החב. לפיתוח'!U38</f>
        <v>6100000</v>
      </c>
      <c r="F29" s="265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</row>
    <row r="30" spans="3:17" ht="15.6" x14ac:dyDescent="0.25">
      <c r="C30" s="343"/>
      <c r="D30" s="351" t="str">
        <f>'פרוט החב. לפיתוח'!C41</f>
        <v>מרכז תחבורה חדש (ציר בן ציון מיכאלי)</v>
      </c>
      <c r="E30" s="367">
        <f>'פרוט החב. לפיתוח'!U41</f>
        <v>10000000</v>
      </c>
      <c r="F30" s="265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</row>
    <row r="31" spans="3:17" ht="15.6" x14ac:dyDescent="0.25">
      <c r="C31" s="343"/>
      <c r="D31" s="351" t="s">
        <v>711</v>
      </c>
      <c r="E31" s="367">
        <f>'פרוט החב. לפיתוח'!U58</f>
        <v>14000000</v>
      </c>
      <c r="F31" s="265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</row>
    <row r="32" spans="3:17" ht="15.6" x14ac:dyDescent="0.25">
      <c r="C32" s="343"/>
      <c r="D32" s="364" t="s">
        <v>834</v>
      </c>
      <c r="E32" s="419">
        <v>20000000</v>
      </c>
      <c r="F32" s="265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</row>
    <row r="33" spans="2:17" ht="16.2" thickBot="1" x14ac:dyDescent="0.3">
      <c r="D33" s="357" t="s">
        <v>712</v>
      </c>
      <c r="E33" s="368">
        <f>'פרוט החב. לפיתוח'!U76</f>
        <v>6082795</v>
      </c>
    </row>
    <row r="34" spans="2:17" ht="15.6" x14ac:dyDescent="0.25">
      <c r="B34" s="343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</row>
  </sheetData>
  <sheetProtection algorithmName="SHA-512" hashValue="ri8wlHa+PkkaZ2zkeQWwtlwKPCVetFtUFYKugiYsPfgaZMZWYv0G5oqhjR9NpwkQZYuuMVFKCY5NPV+rBMDADw==" saltValue="+95vqPfzqWvZuukSTJK8Dg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0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91.44140625" style="253" customWidth="1"/>
    <col min="5" max="5" width="30.44140625" style="253" customWidth="1"/>
    <col min="6" max="6" width="12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A3" s="258"/>
      <c r="C3" s="255" t="s">
        <v>709</v>
      </c>
      <c r="D3" s="258"/>
      <c r="E3" s="258"/>
      <c r="F3" s="258"/>
      <c r="G3" s="258"/>
      <c r="H3" s="258"/>
      <c r="I3" s="258"/>
      <c r="J3" s="258"/>
      <c r="K3" s="258"/>
      <c r="L3" s="258"/>
    </row>
    <row r="4" spans="1:17" ht="21" x14ac:dyDescent="0.25">
      <c r="A4" s="258"/>
      <c r="C4" s="255"/>
      <c r="D4" s="258"/>
      <c r="E4" s="258"/>
      <c r="F4" s="258"/>
      <c r="G4" s="258"/>
      <c r="H4" s="258"/>
      <c r="I4" s="258"/>
      <c r="J4" s="258"/>
      <c r="K4" s="258"/>
      <c r="L4" s="258"/>
    </row>
    <row r="5" spans="1:17" ht="15.6" x14ac:dyDescent="0.25">
      <c r="B5" s="343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</row>
    <row r="6" spans="1:17" ht="15.6" x14ac:dyDescent="0.25">
      <c r="C6" s="343" t="s">
        <v>588</v>
      </c>
      <c r="D6" s="258" t="s">
        <v>704</v>
      </c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</row>
    <row r="7" spans="1:17" ht="15.6" x14ac:dyDescent="0.25">
      <c r="A7" s="267"/>
      <c r="B7" s="257"/>
    </row>
    <row r="8" spans="1:17" ht="15.6" x14ac:dyDescent="0.25">
      <c r="A8" s="258"/>
      <c r="B8" s="258"/>
      <c r="C8" s="258"/>
      <c r="D8" s="258" t="s">
        <v>789</v>
      </c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</row>
    <row r="9" spans="1:17" ht="15.6" x14ac:dyDescent="0.25">
      <c r="A9" s="26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D10" s="262" t="s">
        <v>828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2" spans="1:17" ht="15.6" x14ac:dyDescent="0.25">
      <c r="D12" s="258" t="s">
        <v>790</v>
      </c>
    </row>
    <row r="14" spans="1:17" ht="15.6" x14ac:dyDescent="0.25">
      <c r="D14" s="258" t="s">
        <v>791</v>
      </c>
    </row>
    <row r="16" spans="1:17" ht="15.6" x14ac:dyDescent="0.25">
      <c r="D16" s="258" t="s">
        <v>792</v>
      </c>
    </row>
    <row r="18" spans="4:4" ht="15.6" x14ac:dyDescent="0.25">
      <c r="D18" s="258" t="s">
        <v>793</v>
      </c>
    </row>
    <row r="20" spans="4:4" ht="15.6" x14ac:dyDescent="0.25">
      <c r="D20" s="258" t="s">
        <v>794</v>
      </c>
    </row>
  </sheetData>
  <sheetProtection algorithmName="SHA-512" hashValue="BcMJJsThzhlpUsudMPUiv9L5TU6N9bXlr5Y7Ul83Pyv4IJFNks7MjGwklacWos3T5UppWAUxRyfc+POeUaB4TQ==" saltValue="hZtI07eBhQDdTQi0LUz7K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rightToLeft="1" topLeftCell="A10" workbookViewId="0">
      <selection activeCell="E28" sqref="E28"/>
    </sheetView>
  </sheetViews>
  <sheetFormatPr defaultColWidth="9.109375" defaultRowHeight="13.8" x14ac:dyDescent="0.25"/>
  <cols>
    <col min="1" max="1" width="9.109375" style="254"/>
    <col min="2" max="7" width="9.109375" style="253"/>
    <col min="8" max="8" width="14.33203125" style="253" customWidth="1"/>
    <col min="9" max="16384" width="9.109375" style="253"/>
  </cols>
  <sheetData>
    <row r="3" spans="1:8" ht="18" x14ac:dyDescent="0.25">
      <c r="B3" s="256"/>
      <c r="C3" s="256"/>
      <c r="D3" s="256"/>
      <c r="E3" s="256"/>
      <c r="F3" s="256"/>
      <c r="G3" s="256"/>
      <c r="H3" s="256"/>
    </row>
    <row r="4" spans="1:8" ht="18" x14ac:dyDescent="0.25">
      <c r="B4" s="252" t="s">
        <v>800</v>
      </c>
      <c r="H4" s="252" t="s">
        <v>801</v>
      </c>
    </row>
    <row r="5" spans="1:8" ht="15.6" x14ac:dyDescent="0.25">
      <c r="B5" s="258"/>
    </row>
    <row r="6" spans="1:8" ht="24.9" customHeight="1" x14ac:dyDescent="0.25">
      <c r="A6" s="259"/>
      <c r="B6" s="258" t="s">
        <v>567</v>
      </c>
      <c r="H6" s="258">
        <v>3</v>
      </c>
    </row>
    <row r="7" spans="1:8" ht="24.9" customHeight="1" x14ac:dyDescent="0.25">
      <c r="A7" s="259"/>
      <c r="B7" s="258" t="s">
        <v>568</v>
      </c>
      <c r="H7" s="258">
        <v>4</v>
      </c>
    </row>
    <row r="8" spans="1:8" ht="24.9" customHeight="1" x14ac:dyDescent="0.25">
      <c r="A8" s="259"/>
      <c r="B8" s="258" t="s">
        <v>569</v>
      </c>
      <c r="F8" s="258"/>
    </row>
    <row r="9" spans="1:8" ht="24.9" customHeight="1" x14ac:dyDescent="0.25">
      <c r="A9" s="259"/>
      <c r="B9" s="258" t="s">
        <v>803</v>
      </c>
      <c r="F9" s="260"/>
      <c r="H9" s="267" t="s">
        <v>802</v>
      </c>
    </row>
    <row r="10" spans="1:8" ht="24.9" customHeight="1" x14ac:dyDescent="0.25">
      <c r="A10" s="259"/>
      <c r="B10" s="258" t="s">
        <v>491</v>
      </c>
      <c r="F10" s="261"/>
      <c r="H10" s="267" t="s">
        <v>804</v>
      </c>
    </row>
    <row r="11" spans="1:8" ht="24.9" customHeight="1" x14ac:dyDescent="0.25">
      <c r="A11" s="259"/>
      <c r="B11" s="258" t="s">
        <v>265</v>
      </c>
      <c r="F11" s="261"/>
      <c r="H11" s="267" t="s">
        <v>805</v>
      </c>
    </row>
    <row r="12" spans="1:8" ht="24.9" customHeight="1" x14ac:dyDescent="0.25">
      <c r="A12" s="259"/>
      <c r="B12" s="258" t="s">
        <v>266</v>
      </c>
      <c r="F12" s="262"/>
      <c r="H12" s="267" t="s">
        <v>806</v>
      </c>
    </row>
    <row r="13" spans="1:8" ht="24.9" customHeight="1" x14ac:dyDescent="0.25">
      <c r="A13" s="259"/>
      <c r="B13" s="258" t="s">
        <v>572</v>
      </c>
      <c r="F13" s="262"/>
      <c r="H13" s="267" t="s">
        <v>807</v>
      </c>
    </row>
    <row r="14" spans="1:8" ht="24.9" customHeight="1" x14ac:dyDescent="0.25">
      <c r="A14" s="259"/>
      <c r="B14" s="258" t="s">
        <v>573</v>
      </c>
      <c r="F14" s="262"/>
      <c r="H14" s="267" t="s">
        <v>808</v>
      </c>
    </row>
    <row r="15" spans="1:8" ht="24.9" customHeight="1" x14ac:dyDescent="0.25">
      <c r="A15" s="259"/>
      <c r="B15" s="258" t="s">
        <v>809</v>
      </c>
      <c r="F15" s="262"/>
      <c r="H15" s="267" t="s">
        <v>810</v>
      </c>
    </row>
    <row r="16" spans="1:8" ht="24.9" customHeight="1" x14ac:dyDescent="0.25">
      <c r="A16" s="259"/>
      <c r="B16" s="258" t="s">
        <v>574</v>
      </c>
      <c r="F16" s="261"/>
      <c r="H16" s="267" t="s">
        <v>811</v>
      </c>
    </row>
    <row r="17" spans="1:8" ht="24.9" customHeight="1" x14ac:dyDescent="0.25">
      <c r="A17" s="259"/>
      <c r="B17" s="258" t="s">
        <v>575</v>
      </c>
      <c r="F17" s="261"/>
      <c r="H17" s="267" t="s">
        <v>812</v>
      </c>
    </row>
    <row r="18" spans="1:8" ht="24.9" customHeight="1" x14ac:dyDescent="0.25">
      <c r="A18" s="259"/>
      <c r="B18" s="258" t="s">
        <v>576</v>
      </c>
      <c r="F18" s="261"/>
      <c r="H18" s="267" t="s">
        <v>813</v>
      </c>
    </row>
    <row r="19" spans="1:8" ht="24.9" customHeight="1" x14ac:dyDescent="0.25">
      <c r="A19" s="259"/>
      <c r="B19" s="258" t="s">
        <v>577</v>
      </c>
      <c r="F19" s="261"/>
      <c r="H19" s="267" t="s">
        <v>814</v>
      </c>
    </row>
    <row r="20" spans="1:8" ht="24.9" customHeight="1" x14ac:dyDescent="0.25">
      <c r="A20" s="259"/>
      <c r="B20" s="258" t="s">
        <v>273</v>
      </c>
      <c r="F20" s="261"/>
      <c r="H20" s="267" t="s">
        <v>815</v>
      </c>
    </row>
    <row r="21" spans="1:8" ht="24.9" customHeight="1" x14ac:dyDescent="0.25">
      <c r="A21" s="259"/>
      <c r="B21" s="258"/>
      <c r="F21" s="261"/>
      <c r="H21" s="267"/>
    </row>
    <row r="22" spans="1:8" ht="24.9" customHeight="1" x14ac:dyDescent="0.25">
      <c r="A22" s="259"/>
      <c r="B22" s="258" t="s">
        <v>580</v>
      </c>
      <c r="C22" s="258" t="s">
        <v>581</v>
      </c>
      <c r="H22" s="258"/>
    </row>
    <row r="23" spans="1:8" ht="24.9" customHeight="1" x14ac:dyDescent="0.25">
      <c r="A23" s="259"/>
      <c r="B23" s="258" t="s">
        <v>582</v>
      </c>
      <c r="C23" s="258" t="s">
        <v>583</v>
      </c>
      <c r="H23" s="258"/>
    </row>
    <row r="24" spans="1:8" ht="15.6" x14ac:dyDescent="0.25">
      <c r="A24" s="259"/>
    </row>
  </sheetData>
  <sheetProtection algorithmName="SHA-512" hashValue="hxOBkbrYA+tgcNvEXs0Jy1AC6+kre/pL4MBAlRuRBjYvGpuGxAjv5ftDzrtuiv0CIVdWZ5oCzMljgwDga5c+Uw==" saltValue="QaRz7AkKVfkrpZIMhPUWSQ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48"/>
  <sheetViews>
    <sheetView showZeros="0" rightToLeft="1" zoomScaleNormal="100" workbookViewId="0">
      <pane xSplit="3" ySplit="4" topLeftCell="D56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28.6640625" style="77" customWidth="1"/>
    <col min="4" max="4" width="12.5546875" style="236" customWidth="1"/>
    <col min="5" max="5" width="12.88671875" style="19" customWidth="1"/>
    <col min="6" max="6" width="11.109375" style="19" customWidth="1"/>
    <col min="7" max="10" width="12.6640625" style="19" hidden="1" customWidth="1"/>
    <col min="11" max="11" width="11.33203125" style="19" hidden="1" customWidth="1"/>
    <col min="12" max="12" width="11.33203125" style="19" customWidth="1"/>
    <col min="13" max="13" width="11.109375" style="236" bestFit="1" customWidth="1"/>
    <col min="14" max="14" width="11.109375" style="236" customWidth="1"/>
    <col min="15" max="15" width="11.109375" style="19" customWidth="1"/>
    <col min="16" max="17" width="11.109375" style="19" hidden="1" customWidth="1"/>
    <col min="18" max="19" width="12" style="19" hidden="1" customWidth="1"/>
    <col min="20" max="20" width="9.5546875" style="236" customWidth="1"/>
    <col min="21" max="21" width="10.88671875" style="77" customWidth="1"/>
    <col min="22" max="22" width="11.109375" style="77" customWidth="1"/>
    <col min="23" max="23" width="9" style="21" customWidth="1"/>
    <col min="24" max="24" width="11.88671875" style="21" hidden="1" customWidth="1"/>
    <col min="25" max="25" width="11" style="77" customWidth="1"/>
    <col min="26" max="26" width="7.88671875" style="21" hidden="1" customWidth="1"/>
    <col min="27" max="28" width="9.109375" style="21" customWidth="1"/>
    <col min="29" max="29" width="11.109375" style="21" customWidth="1"/>
    <col min="30" max="31" width="9.109375" style="21" customWidth="1"/>
    <col min="32" max="32" width="1.5546875" style="21" hidden="1" customWidth="1"/>
    <col min="33" max="33" width="10.5546875" style="21" hidden="1" customWidth="1"/>
    <col min="34" max="34" width="11.44140625" style="21" hidden="1" customWidth="1"/>
    <col min="35" max="35" width="9.109375" style="21" customWidth="1"/>
    <col min="36" max="36" width="9.109375" style="21"/>
    <col min="37" max="37" width="10.109375" style="21" customWidth="1"/>
    <col min="38" max="39" width="9.109375" style="21" customWidth="1"/>
    <col min="40" max="16384" width="9.109375" style="21"/>
  </cols>
  <sheetData>
    <row r="2" spans="1:34" ht="18" x14ac:dyDescent="0.35">
      <c r="A2" s="450" t="s">
        <v>265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4" spans="1:34" s="58" customFormat="1" ht="86.25" customHeight="1" x14ac:dyDescent="0.25">
      <c r="A4" s="5" t="s">
        <v>830</v>
      </c>
      <c r="B4" s="5" t="s">
        <v>1</v>
      </c>
      <c r="C4" s="214" t="s">
        <v>2</v>
      </c>
      <c r="D4" s="21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169" t="s">
        <v>492</v>
      </c>
      <c r="N4" s="214" t="s">
        <v>299</v>
      </c>
      <c r="O4" s="5" t="s">
        <v>300</v>
      </c>
      <c r="P4" s="5" t="s">
        <v>12</v>
      </c>
      <c r="Q4" s="5" t="s">
        <v>301</v>
      </c>
      <c r="R4" s="5" t="s">
        <v>302</v>
      </c>
      <c r="S4" s="5" t="s">
        <v>303</v>
      </c>
      <c r="T4" s="214" t="s">
        <v>304</v>
      </c>
      <c r="U4" s="214" t="s">
        <v>305</v>
      </c>
      <c r="V4" s="214" t="s">
        <v>13</v>
      </c>
      <c r="W4" s="5" t="s">
        <v>14</v>
      </c>
      <c r="X4" s="5" t="s">
        <v>15</v>
      </c>
      <c r="Y4" s="214" t="s">
        <v>223</v>
      </c>
      <c r="Z4" s="5" t="s">
        <v>16</v>
      </c>
      <c r="AF4" s="106"/>
      <c r="AG4" s="106" t="s">
        <v>546</v>
      </c>
      <c r="AH4" s="106" t="s">
        <v>547</v>
      </c>
    </row>
    <row r="5" spans="1:34" s="8" customFormat="1" x14ac:dyDescent="0.25">
      <c r="A5" s="10"/>
      <c r="B5" s="10"/>
      <c r="C5" s="69"/>
      <c r="D5" s="215"/>
      <c r="E5" s="57"/>
      <c r="F5" s="57"/>
      <c r="G5" s="57"/>
      <c r="H5" s="57"/>
      <c r="I5" s="57"/>
      <c r="J5" s="57"/>
      <c r="K5" s="57"/>
      <c r="L5" s="57"/>
      <c r="M5" s="215"/>
      <c r="N5" s="215"/>
      <c r="O5" s="57"/>
      <c r="P5" s="57"/>
      <c r="Q5" s="57"/>
      <c r="R5" s="57"/>
      <c r="S5" s="57"/>
      <c r="T5" s="215"/>
      <c r="U5" s="215"/>
      <c r="V5" s="215"/>
      <c r="W5" s="57"/>
      <c r="X5" s="57"/>
      <c r="Y5" s="69"/>
      <c r="Z5" s="10"/>
      <c r="AF5" s="6"/>
      <c r="AG5" s="6"/>
      <c r="AH5" s="6"/>
    </row>
    <row r="6" spans="1:34" s="8" customFormat="1" x14ac:dyDescent="0.25">
      <c r="A6" s="6">
        <f>A5+1</f>
        <v>1</v>
      </c>
      <c r="B6" s="6">
        <v>382</v>
      </c>
      <c r="C6" s="14" t="s">
        <v>783</v>
      </c>
      <c r="D6" s="15">
        <f>39881930+4400000+1500000</f>
        <v>45781930</v>
      </c>
      <c r="E6" s="7">
        <v>39881930</v>
      </c>
      <c r="F6" s="7">
        <f t="shared" ref="F6:F63" si="0">D6-E6</f>
        <v>5900000</v>
      </c>
      <c r="G6" s="7">
        <v>32181330</v>
      </c>
      <c r="H6" s="7">
        <v>29672522.18</v>
      </c>
      <c r="I6" s="7">
        <v>1028474.32</v>
      </c>
      <c r="J6" s="7"/>
      <c r="K6" s="7">
        <f>SUM(I6:J6)</f>
        <v>1028474.32</v>
      </c>
      <c r="L6" s="7">
        <f>H6+K6</f>
        <v>30700996.5</v>
      </c>
      <c r="M6" s="15">
        <f>P6+S6</f>
        <v>6180333.5</v>
      </c>
      <c r="N6" s="15">
        <f>7400600+1500000</f>
        <v>8900600</v>
      </c>
      <c r="O6" s="7">
        <f>D6-L6-M6-N6</f>
        <v>0</v>
      </c>
      <c r="P6" s="7">
        <f>G6-L6</f>
        <v>1480333.5</v>
      </c>
      <c r="Q6" s="7"/>
      <c r="R6" s="197">
        <v>4700000</v>
      </c>
      <c r="S6" s="7">
        <f>SUM(Q6:R6)</f>
        <v>4700000</v>
      </c>
      <c r="T6" s="15">
        <f>P6-M6+S6</f>
        <v>0</v>
      </c>
      <c r="U6" s="15">
        <f>N6-T6</f>
        <v>8900600</v>
      </c>
      <c r="V6" s="15">
        <f>U6-W6-X6-Y6</f>
        <v>8900600</v>
      </c>
      <c r="W6" s="7"/>
      <c r="X6" s="7"/>
      <c r="Y6" s="14"/>
      <c r="Z6" s="6">
        <v>742000</v>
      </c>
      <c r="AF6" s="6"/>
      <c r="AG6" s="6"/>
      <c r="AH6" s="7">
        <f t="shared" ref="AH6:AH37" si="1">V6-AG6</f>
        <v>8900600</v>
      </c>
    </row>
    <row r="7" spans="1:34" s="8" customFormat="1" x14ac:dyDescent="0.25">
      <c r="A7" s="6">
        <f>A6+1</f>
        <v>2</v>
      </c>
      <c r="B7" s="6">
        <v>437</v>
      </c>
      <c r="C7" s="14" t="s">
        <v>203</v>
      </c>
      <c r="D7" s="15">
        <v>11000000</v>
      </c>
      <c r="E7" s="7">
        <v>11000000</v>
      </c>
      <c r="F7" s="7">
        <f t="shared" si="0"/>
        <v>0</v>
      </c>
      <c r="G7" s="7">
        <v>9595000</v>
      </c>
      <c r="H7" s="7">
        <v>9356216.4100000001</v>
      </c>
      <c r="I7" s="7"/>
      <c r="J7" s="7"/>
      <c r="K7" s="7">
        <f t="shared" ref="K7:K24" si="2">SUM(I7:J7)</f>
        <v>0</v>
      </c>
      <c r="L7" s="7">
        <f t="shared" ref="L7:L24" si="3">H7+K7</f>
        <v>9356216.4100000001</v>
      </c>
      <c r="M7" s="15">
        <f t="shared" ref="M7:M24" si="4">P7+S7</f>
        <v>1643783.5899999999</v>
      </c>
      <c r="N7" s="15"/>
      <c r="O7" s="7">
        <f t="shared" ref="O7:O24" si="5">D7-L7-M7-N7</f>
        <v>0</v>
      </c>
      <c r="P7" s="7">
        <f t="shared" ref="P7:P24" si="6">G7-L7</f>
        <v>238783.58999999985</v>
      </c>
      <c r="Q7" s="197">
        <v>1405000</v>
      </c>
      <c r="R7" s="15"/>
      <c r="S7" s="7">
        <f t="shared" ref="S7:S18" si="7">SUM(Q7:R7)</f>
        <v>1405000</v>
      </c>
      <c r="T7" s="15">
        <f t="shared" ref="T7:T18" si="8">P7-M7+S7</f>
        <v>0</v>
      </c>
      <c r="U7" s="15">
        <f t="shared" ref="U7:U17" si="9">N7-T7</f>
        <v>0</v>
      </c>
      <c r="V7" s="15">
        <f t="shared" ref="V7:V18" si="10">U7-W7-X7-Y7</f>
        <v>0</v>
      </c>
      <c r="W7" s="7"/>
      <c r="X7" s="7"/>
      <c r="Y7" s="14"/>
      <c r="Z7" s="6">
        <v>742000</v>
      </c>
      <c r="AF7" s="6"/>
      <c r="AG7" s="6"/>
      <c r="AH7" s="7">
        <f t="shared" si="1"/>
        <v>0</v>
      </c>
    </row>
    <row r="8" spans="1:34" s="9" customFormat="1" x14ac:dyDescent="0.25">
      <c r="A8" s="6">
        <f t="shared" ref="A8:A71" si="11">A7+1</f>
        <v>3</v>
      </c>
      <c r="B8" s="6">
        <v>439</v>
      </c>
      <c r="C8" s="14" t="s">
        <v>204</v>
      </c>
      <c r="D8" s="15">
        <f>17325000-234197</f>
        <v>17090803</v>
      </c>
      <c r="E8" s="7">
        <v>17325000</v>
      </c>
      <c r="F8" s="7">
        <f t="shared" si="0"/>
        <v>-234197</v>
      </c>
      <c r="G8" s="7">
        <v>17325000</v>
      </c>
      <c r="H8" s="7">
        <v>16320219</v>
      </c>
      <c r="I8" s="7">
        <v>70583.8</v>
      </c>
      <c r="J8" s="7"/>
      <c r="K8" s="7">
        <f t="shared" si="2"/>
        <v>70583.8</v>
      </c>
      <c r="L8" s="7">
        <f t="shared" si="3"/>
        <v>16390802.800000001</v>
      </c>
      <c r="M8" s="15">
        <f>P8+S8-234197</f>
        <v>700000.19999999925</v>
      </c>
      <c r="N8" s="15"/>
      <c r="O8" s="7">
        <f t="shared" si="5"/>
        <v>0</v>
      </c>
      <c r="P8" s="7">
        <f t="shared" si="6"/>
        <v>934197.19999999925</v>
      </c>
      <c r="Q8" s="7"/>
      <c r="R8" s="15"/>
      <c r="S8" s="7">
        <f t="shared" si="7"/>
        <v>0</v>
      </c>
      <c r="T8" s="15">
        <f t="shared" si="8"/>
        <v>234197</v>
      </c>
      <c r="U8" s="15">
        <f t="shared" si="9"/>
        <v>-234197</v>
      </c>
      <c r="V8" s="15">
        <f t="shared" si="10"/>
        <v>-234197</v>
      </c>
      <c r="W8" s="7"/>
      <c r="X8" s="7"/>
      <c r="Y8" s="14"/>
      <c r="Z8" s="6">
        <v>742000</v>
      </c>
      <c r="AA8" s="8"/>
      <c r="AF8" s="3"/>
      <c r="AG8" s="3"/>
      <c r="AH8" s="7">
        <f t="shared" si="1"/>
        <v>-234197</v>
      </c>
    </row>
    <row r="9" spans="1:34" s="9" customFormat="1" x14ac:dyDescent="0.25">
      <c r="A9" s="6">
        <f t="shared" si="11"/>
        <v>4</v>
      </c>
      <c r="B9" s="6">
        <v>532</v>
      </c>
      <c r="C9" s="14" t="s">
        <v>205</v>
      </c>
      <c r="D9" s="15">
        <v>80090000</v>
      </c>
      <c r="E9" s="7">
        <v>80090000</v>
      </c>
      <c r="F9" s="7">
        <f t="shared" si="0"/>
        <v>0</v>
      </c>
      <c r="G9" s="7">
        <v>58690000</v>
      </c>
      <c r="H9" s="7">
        <v>51942899.969999999</v>
      </c>
      <c r="I9" s="7">
        <v>6205297.6200000001</v>
      </c>
      <c r="J9" s="7">
        <v>1180.55</v>
      </c>
      <c r="K9" s="7">
        <f t="shared" si="2"/>
        <v>6206478.1699999999</v>
      </c>
      <c r="L9" s="7">
        <f t="shared" si="3"/>
        <v>58149378.140000001</v>
      </c>
      <c r="M9" s="15">
        <f t="shared" si="4"/>
        <v>10540621.859999999</v>
      </c>
      <c r="N9" s="15">
        <f>11400000-5000000</f>
        <v>6400000</v>
      </c>
      <c r="O9" s="7">
        <f t="shared" si="5"/>
        <v>5000000</v>
      </c>
      <c r="P9" s="7">
        <f t="shared" si="6"/>
        <v>540621.8599999994</v>
      </c>
      <c r="Q9" s="197">
        <v>10000000</v>
      </c>
      <c r="R9" s="15"/>
      <c r="S9" s="7">
        <f t="shared" si="7"/>
        <v>10000000</v>
      </c>
      <c r="T9" s="15">
        <f t="shared" si="8"/>
        <v>0</v>
      </c>
      <c r="U9" s="15">
        <f t="shared" si="9"/>
        <v>6400000</v>
      </c>
      <c r="V9" s="15">
        <f t="shared" si="10"/>
        <v>6400000</v>
      </c>
      <c r="W9" s="7"/>
      <c r="X9" s="7"/>
      <c r="Y9" s="14"/>
      <c r="Z9" s="6">
        <v>742000</v>
      </c>
      <c r="AA9" s="8"/>
      <c r="AF9" s="3"/>
      <c r="AG9" s="3"/>
      <c r="AH9" s="7">
        <f t="shared" si="1"/>
        <v>6400000</v>
      </c>
    </row>
    <row r="10" spans="1:34" s="9" customFormat="1" x14ac:dyDescent="0.25">
      <c r="A10" s="6">
        <f t="shared" si="11"/>
        <v>5</v>
      </c>
      <c r="B10" s="6">
        <v>576</v>
      </c>
      <c r="C10" s="14" t="s">
        <v>206</v>
      </c>
      <c r="D10" s="15">
        <f>45113000+1200000</f>
        <v>46313000</v>
      </c>
      <c r="E10" s="7">
        <v>45113000</v>
      </c>
      <c r="F10" s="7">
        <f t="shared" si="0"/>
        <v>1200000</v>
      </c>
      <c r="G10" s="7">
        <v>45113000</v>
      </c>
      <c r="H10" s="7">
        <v>41595726.600000001</v>
      </c>
      <c r="I10" s="7">
        <v>2313511.94</v>
      </c>
      <c r="J10" s="7">
        <v>1726.19</v>
      </c>
      <c r="K10" s="7">
        <f t="shared" si="2"/>
        <v>2315238.13</v>
      </c>
      <c r="L10" s="7">
        <f t="shared" si="3"/>
        <v>43910964.730000004</v>
      </c>
      <c r="M10" s="15">
        <f t="shared" si="4"/>
        <v>1202035.2699999958</v>
      </c>
      <c r="N10" s="15">
        <v>1200000</v>
      </c>
      <c r="O10" s="7">
        <f t="shared" si="5"/>
        <v>0</v>
      </c>
      <c r="P10" s="7">
        <f t="shared" si="6"/>
        <v>1202035.2699999958</v>
      </c>
      <c r="Q10" s="7"/>
      <c r="R10" s="15"/>
      <c r="S10" s="7">
        <f t="shared" si="7"/>
        <v>0</v>
      </c>
      <c r="T10" s="15">
        <f t="shared" si="8"/>
        <v>0</v>
      </c>
      <c r="U10" s="15">
        <f t="shared" si="9"/>
        <v>1200000</v>
      </c>
      <c r="V10" s="15">
        <f t="shared" si="10"/>
        <v>0</v>
      </c>
      <c r="W10" s="7"/>
      <c r="X10" s="7"/>
      <c r="Y10" s="15">
        <v>1200000</v>
      </c>
      <c r="Z10" s="6">
        <v>760000</v>
      </c>
      <c r="AA10" s="8"/>
      <c r="AF10" s="3"/>
      <c r="AG10" s="3"/>
      <c r="AH10" s="7">
        <f t="shared" si="1"/>
        <v>0</v>
      </c>
    </row>
    <row r="11" spans="1:34" s="9" customFormat="1" x14ac:dyDescent="0.25">
      <c r="A11" s="6">
        <f t="shared" si="11"/>
        <v>6</v>
      </c>
      <c r="B11" s="6">
        <v>634</v>
      </c>
      <c r="C11" s="14" t="s">
        <v>207</v>
      </c>
      <c r="D11" s="15">
        <v>57250000</v>
      </c>
      <c r="E11" s="7">
        <v>57250000</v>
      </c>
      <c r="F11" s="7">
        <f t="shared" si="0"/>
        <v>0</v>
      </c>
      <c r="G11" s="7">
        <f>49950000+800000</f>
        <v>50750000</v>
      </c>
      <c r="H11" s="7">
        <v>46664300</v>
      </c>
      <c r="I11" s="7">
        <v>2533007</v>
      </c>
      <c r="J11" s="7">
        <v>1553.41</v>
      </c>
      <c r="K11" s="7">
        <f t="shared" si="2"/>
        <v>2534560.41</v>
      </c>
      <c r="L11" s="7">
        <f t="shared" si="3"/>
        <v>49198860.409999996</v>
      </c>
      <c r="M11" s="15">
        <f t="shared" si="4"/>
        <v>8051139.5900000036</v>
      </c>
      <c r="N11" s="15"/>
      <c r="O11" s="7">
        <f t="shared" si="5"/>
        <v>0</v>
      </c>
      <c r="P11" s="7">
        <f t="shared" si="6"/>
        <v>1551139.5900000036</v>
      </c>
      <c r="Q11" s="152">
        <f>7300000-800000</f>
        <v>6500000</v>
      </c>
      <c r="R11" s="15"/>
      <c r="S11" s="7">
        <f t="shared" si="7"/>
        <v>6500000</v>
      </c>
      <c r="T11" s="15">
        <f t="shared" si="8"/>
        <v>0</v>
      </c>
      <c r="U11" s="15">
        <f t="shared" si="9"/>
        <v>0</v>
      </c>
      <c r="V11" s="15">
        <f t="shared" si="10"/>
        <v>0</v>
      </c>
      <c r="W11" s="7"/>
      <c r="X11" s="7"/>
      <c r="Y11" s="14"/>
      <c r="Z11" s="6">
        <v>732000</v>
      </c>
      <c r="AA11" s="8"/>
      <c r="AF11" s="3"/>
      <c r="AG11" s="3"/>
      <c r="AH11" s="7">
        <f t="shared" si="1"/>
        <v>0</v>
      </c>
    </row>
    <row r="12" spans="1:34" s="9" customFormat="1" x14ac:dyDescent="0.25">
      <c r="A12" s="6">
        <f t="shared" si="11"/>
        <v>7</v>
      </c>
      <c r="B12" s="6">
        <v>642</v>
      </c>
      <c r="C12" s="14" t="s">
        <v>208</v>
      </c>
      <c r="D12" s="15">
        <v>15780000</v>
      </c>
      <c r="E12" s="7">
        <v>15780000</v>
      </c>
      <c r="F12" s="7">
        <f t="shared" si="0"/>
        <v>0</v>
      </c>
      <c r="G12" s="7">
        <f>14880000+500000</f>
        <v>15380000</v>
      </c>
      <c r="H12" s="7">
        <v>13469675.880000001</v>
      </c>
      <c r="I12" s="7">
        <v>910080.21</v>
      </c>
      <c r="J12" s="7"/>
      <c r="K12" s="7">
        <f t="shared" si="2"/>
        <v>910080.21</v>
      </c>
      <c r="L12" s="7">
        <f t="shared" si="3"/>
        <v>14379756.09</v>
      </c>
      <c r="M12" s="15">
        <f t="shared" si="4"/>
        <v>1400243.9100000001</v>
      </c>
      <c r="N12" s="15"/>
      <c r="O12" s="7">
        <f t="shared" si="5"/>
        <v>0</v>
      </c>
      <c r="P12" s="7">
        <f t="shared" si="6"/>
        <v>1000243.9100000001</v>
      </c>
      <c r="Q12" s="150">
        <f>900000-500000</f>
        <v>400000</v>
      </c>
      <c r="R12" s="15"/>
      <c r="S12" s="7">
        <f t="shared" si="7"/>
        <v>400000</v>
      </c>
      <c r="T12" s="15">
        <f t="shared" si="8"/>
        <v>0</v>
      </c>
      <c r="U12" s="15">
        <f t="shared" si="9"/>
        <v>0</v>
      </c>
      <c r="V12" s="15">
        <f t="shared" si="10"/>
        <v>0</v>
      </c>
      <c r="W12" s="7"/>
      <c r="X12" s="7"/>
      <c r="Y12" s="14"/>
      <c r="Z12" s="6">
        <v>742000</v>
      </c>
      <c r="AA12" s="8"/>
      <c r="AF12" s="3"/>
      <c r="AG12" s="7"/>
      <c r="AH12" s="7">
        <f t="shared" si="1"/>
        <v>0</v>
      </c>
    </row>
    <row r="13" spans="1:34" s="8" customFormat="1" x14ac:dyDescent="0.25">
      <c r="A13" s="6">
        <f t="shared" si="11"/>
        <v>8</v>
      </c>
      <c r="B13" s="6">
        <v>1067</v>
      </c>
      <c r="C13" s="14" t="s">
        <v>209</v>
      </c>
      <c r="D13" s="15">
        <f>3075000+500000</f>
        <v>3575000</v>
      </c>
      <c r="E13" s="7">
        <v>3075000</v>
      </c>
      <c r="F13" s="7">
        <f t="shared" si="0"/>
        <v>500000</v>
      </c>
      <c r="G13" s="7">
        <f>2575000+100000</f>
        <v>2675000</v>
      </c>
      <c r="H13" s="7">
        <v>2398366.44</v>
      </c>
      <c r="I13" s="7">
        <v>175934.72</v>
      </c>
      <c r="J13" s="7"/>
      <c r="K13" s="7">
        <f t="shared" si="2"/>
        <v>175934.72</v>
      </c>
      <c r="L13" s="7">
        <f t="shared" si="3"/>
        <v>2574301.16</v>
      </c>
      <c r="M13" s="15">
        <f t="shared" si="4"/>
        <v>500698.83999999985</v>
      </c>
      <c r="N13" s="15">
        <v>500000</v>
      </c>
      <c r="O13" s="7">
        <f t="shared" si="5"/>
        <v>0</v>
      </c>
      <c r="P13" s="7">
        <f t="shared" si="6"/>
        <v>100698.83999999985</v>
      </c>
      <c r="Q13" s="152">
        <f>500000-100000</f>
        <v>400000</v>
      </c>
      <c r="R13" s="15"/>
      <c r="S13" s="7">
        <f t="shared" si="7"/>
        <v>400000</v>
      </c>
      <c r="T13" s="15">
        <f t="shared" si="8"/>
        <v>0</v>
      </c>
      <c r="U13" s="15">
        <f t="shared" si="9"/>
        <v>500000</v>
      </c>
      <c r="V13" s="15">
        <f t="shared" si="10"/>
        <v>500000</v>
      </c>
      <c r="W13" s="7"/>
      <c r="X13" s="7"/>
      <c r="Y13" s="14"/>
      <c r="Z13" s="6">
        <v>742000</v>
      </c>
      <c r="AF13" s="6"/>
      <c r="AG13" s="7"/>
      <c r="AH13" s="7">
        <f t="shared" si="1"/>
        <v>500000</v>
      </c>
    </row>
    <row r="14" spans="1:34" s="9" customFormat="1" x14ac:dyDescent="0.25">
      <c r="A14" s="6">
        <f t="shared" si="11"/>
        <v>9</v>
      </c>
      <c r="B14" s="6">
        <v>1207</v>
      </c>
      <c r="C14" s="14" t="s">
        <v>210</v>
      </c>
      <c r="D14" s="15">
        <v>32500000</v>
      </c>
      <c r="E14" s="7">
        <v>32500000</v>
      </c>
      <c r="F14" s="7">
        <f t="shared" si="0"/>
        <v>0</v>
      </c>
      <c r="G14" s="7">
        <v>17800000</v>
      </c>
      <c r="H14" s="7">
        <v>17799797.899999999</v>
      </c>
      <c r="I14" s="7"/>
      <c r="J14" s="7">
        <v>201.48</v>
      </c>
      <c r="K14" s="7">
        <f t="shared" si="2"/>
        <v>201.48</v>
      </c>
      <c r="L14" s="7">
        <f t="shared" si="3"/>
        <v>17799999.379999999</v>
      </c>
      <c r="M14" s="15">
        <f t="shared" si="4"/>
        <v>0.62000000104308128</v>
      </c>
      <c r="N14" s="15">
        <f>2000000-1000000-1000000</f>
        <v>0</v>
      </c>
      <c r="O14" s="7">
        <f t="shared" si="5"/>
        <v>14700000</v>
      </c>
      <c r="P14" s="7">
        <f t="shared" si="6"/>
        <v>0.62000000104308128</v>
      </c>
      <c r="Q14" s="7"/>
      <c r="R14" s="15"/>
      <c r="S14" s="7">
        <f t="shared" si="7"/>
        <v>0</v>
      </c>
      <c r="T14" s="15">
        <f t="shared" si="8"/>
        <v>0</v>
      </c>
      <c r="U14" s="15">
        <f t="shared" si="9"/>
        <v>0</v>
      </c>
      <c r="V14" s="15">
        <f t="shared" si="10"/>
        <v>0</v>
      </c>
      <c r="W14" s="7"/>
      <c r="X14" s="7"/>
      <c r="Y14" s="14"/>
      <c r="Z14" s="6">
        <v>742000</v>
      </c>
      <c r="AA14" s="8"/>
      <c r="AF14" s="3"/>
      <c r="AG14" s="7"/>
      <c r="AH14" s="232">
        <f t="shared" si="1"/>
        <v>0</v>
      </c>
    </row>
    <row r="15" spans="1:34" s="9" customFormat="1" x14ac:dyDescent="0.25">
      <c r="A15" s="6">
        <f t="shared" si="11"/>
        <v>10</v>
      </c>
      <c r="B15" s="6">
        <v>1238</v>
      </c>
      <c r="C15" s="14" t="s">
        <v>211</v>
      </c>
      <c r="D15" s="15">
        <v>32940000</v>
      </c>
      <c r="E15" s="7">
        <v>32940000</v>
      </c>
      <c r="F15" s="7">
        <f t="shared" si="0"/>
        <v>0</v>
      </c>
      <c r="G15" s="7">
        <v>23940000</v>
      </c>
      <c r="H15" s="7">
        <v>23512804.199999999</v>
      </c>
      <c r="I15" s="7">
        <v>422754.24</v>
      </c>
      <c r="J15" s="7">
        <v>1184.04</v>
      </c>
      <c r="K15" s="7">
        <f t="shared" si="2"/>
        <v>423938.27999999997</v>
      </c>
      <c r="L15" s="7">
        <f t="shared" si="3"/>
        <v>23936742.48</v>
      </c>
      <c r="M15" s="15">
        <f t="shared" si="4"/>
        <v>2503257.5199999996</v>
      </c>
      <c r="N15" s="15">
        <f>3600000-3600000</f>
        <v>0</v>
      </c>
      <c r="O15" s="7">
        <f t="shared" si="5"/>
        <v>6500000</v>
      </c>
      <c r="P15" s="7">
        <f t="shared" si="6"/>
        <v>3257.519999999553</v>
      </c>
      <c r="Q15" s="7"/>
      <c r="R15" s="152">
        <v>2500000</v>
      </c>
      <c r="S15" s="7">
        <f t="shared" si="7"/>
        <v>2500000</v>
      </c>
      <c r="T15" s="15">
        <f t="shared" si="8"/>
        <v>0</v>
      </c>
      <c r="U15" s="15">
        <f t="shared" si="9"/>
        <v>0</v>
      </c>
      <c r="V15" s="15">
        <f t="shared" si="10"/>
        <v>0</v>
      </c>
      <c r="W15" s="7"/>
      <c r="X15" s="7"/>
      <c r="Y15" s="14"/>
      <c r="Z15" s="6">
        <v>742000</v>
      </c>
      <c r="AA15" s="8"/>
      <c r="AF15" s="3"/>
      <c r="AG15" s="7"/>
      <c r="AH15" s="7">
        <f t="shared" si="1"/>
        <v>0</v>
      </c>
    </row>
    <row r="16" spans="1:34" s="9" customFormat="1" x14ac:dyDescent="0.25">
      <c r="A16" s="6">
        <f t="shared" si="11"/>
        <v>11</v>
      </c>
      <c r="B16" s="6">
        <v>1298</v>
      </c>
      <c r="C16" s="14" t="s">
        <v>53</v>
      </c>
      <c r="D16" s="15">
        <f>3100000+500000</f>
        <v>3600000</v>
      </c>
      <c r="E16" s="7">
        <v>3100000</v>
      </c>
      <c r="F16" s="7">
        <f t="shared" si="0"/>
        <v>500000</v>
      </c>
      <c r="G16" s="7">
        <f>2700000+100000</f>
        <v>2800000</v>
      </c>
      <c r="H16" s="7">
        <v>2408798.25</v>
      </c>
      <c r="I16" s="7">
        <v>187511.43</v>
      </c>
      <c r="J16" s="7">
        <v>2634</v>
      </c>
      <c r="K16" s="7">
        <f t="shared" si="2"/>
        <v>190145.43</v>
      </c>
      <c r="L16" s="7">
        <f t="shared" si="3"/>
        <v>2598943.6800000002</v>
      </c>
      <c r="M16" s="15">
        <f t="shared" si="4"/>
        <v>501056.31999999983</v>
      </c>
      <c r="N16" s="15">
        <v>500000</v>
      </c>
      <c r="O16" s="7">
        <f t="shared" si="5"/>
        <v>0</v>
      </c>
      <c r="P16" s="7">
        <f t="shared" si="6"/>
        <v>201056.31999999983</v>
      </c>
      <c r="Q16" s="197">
        <f>400000-100000</f>
        <v>300000</v>
      </c>
      <c r="R16" s="15"/>
      <c r="S16" s="7">
        <f t="shared" si="7"/>
        <v>300000</v>
      </c>
      <c r="T16" s="15">
        <f t="shared" si="8"/>
        <v>0</v>
      </c>
      <c r="U16" s="15">
        <f t="shared" si="9"/>
        <v>500000</v>
      </c>
      <c r="V16" s="15">
        <f t="shared" si="10"/>
        <v>500000</v>
      </c>
      <c r="W16" s="7"/>
      <c r="X16" s="7"/>
      <c r="Y16" s="14"/>
      <c r="Z16" s="6">
        <v>742000</v>
      </c>
      <c r="AA16" s="8"/>
      <c r="AF16" s="3"/>
      <c r="AG16" s="7"/>
      <c r="AH16" s="7">
        <f t="shared" si="1"/>
        <v>500000</v>
      </c>
    </row>
    <row r="17" spans="1:34" s="8" customFormat="1" x14ac:dyDescent="0.25">
      <c r="A17" s="6">
        <f t="shared" si="11"/>
        <v>12</v>
      </c>
      <c r="B17" s="6">
        <v>1312</v>
      </c>
      <c r="C17" s="14" t="s">
        <v>54</v>
      </c>
      <c r="D17" s="15">
        <f>109000000+6000000</f>
        <v>115000000</v>
      </c>
      <c r="E17" s="7">
        <v>109000000</v>
      </c>
      <c r="F17" s="7">
        <f t="shared" si="0"/>
        <v>6000000</v>
      </c>
      <c r="G17" s="7">
        <v>87192531</v>
      </c>
      <c r="H17" s="7">
        <v>41789340.969999999</v>
      </c>
      <c r="I17" s="7">
        <v>4436543.66</v>
      </c>
      <c r="J17" s="7">
        <v>2552643.48</v>
      </c>
      <c r="K17" s="7">
        <f t="shared" si="2"/>
        <v>6989187.1400000006</v>
      </c>
      <c r="L17" s="7">
        <f t="shared" si="3"/>
        <v>48778528.109999999</v>
      </c>
      <c r="M17" s="15">
        <f t="shared" si="4"/>
        <v>60221471.890000001</v>
      </c>
      <c r="N17" s="15">
        <f>6000000-6000000</f>
        <v>0</v>
      </c>
      <c r="O17" s="7">
        <f t="shared" si="5"/>
        <v>6000000</v>
      </c>
      <c r="P17" s="7">
        <f t="shared" si="6"/>
        <v>38414002.890000001</v>
      </c>
      <c r="Q17" s="197">
        <v>21807469</v>
      </c>
      <c r="R17" s="15"/>
      <c r="S17" s="7">
        <f t="shared" si="7"/>
        <v>21807469</v>
      </c>
      <c r="T17" s="15">
        <f t="shared" si="8"/>
        <v>0</v>
      </c>
      <c r="U17" s="15">
        <f t="shared" si="9"/>
        <v>0</v>
      </c>
      <c r="V17" s="15">
        <f t="shared" si="10"/>
        <v>-6500000</v>
      </c>
      <c r="W17" s="7">
        <v>6500000</v>
      </c>
      <c r="X17" s="7"/>
      <c r="Y17" s="14"/>
      <c r="Z17" s="6">
        <v>930000</v>
      </c>
      <c r="AF17" s="6"/>
      <c r="AG17" s="7"/>
      <c r="AH17" s="7">
        <f t="shared" si="1"/>
        <v>-6500000</v>
      </c>
    </row>
    <row r="18" spans="1:34" s="8" customFormat="1" x14ac:dyDescent="0.25">
      <c r="A18" s="6">
        <f t="shared" si="11"/>
        <v>13</v>
      </c>
      <c r="B18" s="6">
        <v>1375</v>
      </c>
      <c r="C18" s="14" t="s">
        <v>212</v>
      </c>
      <c r="D18" s="15">
        <f>26950000+12000000+850000</f>
        <v>39800000</v>
      </c>
      <c r="E18" s="7">
        <f>26950000+12000000</f>
        <v>38950000</v>
      </c>
      <c r="F18" s="7">
        <f t="shared" si="0"/>
        <v>850000</v>
      </c>
      <c r="G18" s="7">
        <v>26950000</v>
      </c>
      <c r="H18" s="7">
        <v>24611754.710000001</v>
      </c>
      <c r="I18" s="7">
        <v>1166997.3700000001</v>
      </c>
      <c r="J18" s="7"/>
      <c r="K18" s="7">
        <f t="shared" si="2"/>
        <v>1166997.3700000001</v>
      </c>
      <c r="L18" s="7">
        <f t="shared" si="3"/>
        <v>25778752.080000002</v>
      </c>
      <c r="M18" s="15">
        <f t="shared" si="4"/>
        <v>3171247.9199999981</v>
      </c>
      <c r="N18" s="15">
        <f>10000000+850000-5000000-4500000-800000</f>
        <v>550000</v>
      </c>
      <c r="O18" s="7">
        <f t="shared" si="5"/>
        <v>10300000</v>
      </c>
      <c r="P18" s="7">
        <f t="shared" si="6"/>
        <v>1171247.9199999981</v>
      </c>
      <c r="Q18" s="7"/>
      <c r="R18" s="197">
        <v>2000000</v>
      </c>
      <c r="S18" s="7">
        <f t="shared" si="7"/>
        <v>2000000</v>
      </c>
      <c r="T18" s="15">
        <f t="shared" si="8"/>
        <v>0</v>
      </c>
      <c r="U18" s="15">
        <f>N18-T18</f>
        <v>550000</v>
      </c>
      <c r="V18" s="15">
        <f t="shared" si="10"/>
        <v>550000</v>
      </c>
      <c r="W18" s="7"/>
      <c r="X18" s="7"/>
      <c r="Y18" s="14"/>
      <c r="Z18" s="386">
        <v>829000</v>
      </c>
      <c r="AF18" s="6"/>
      <c r="AG18" s="7"/>
      <c r="AH18" s="232">
        <f t="shared" si="1"/>
        <v>550000</v>
      </c>
    </row>
    <row r="19" spans="1:34" s="9" customFormat="1" x14ac:dyDescent="0.25">
      <c r="A19" s="6">
        <f t="shared" si="11"/>
        <v>14</v>
      </c>
      <c r="B19" s="6">
        <v>1396</v>
      </c>
      <c r="C19" s="14" t="s">
        <v>339</v>
      </c>
      <c r="D19" s="15">
        <f>10500000-4220000</f>
        <v>6280000</v>
      </c>
      <c r="E19" s="7">
        <v>10500000</v>
      </c>
      <c r="F19" s="7">
        <f t="shared" si="0"/>
        <v>-4220000</v>
      </c>
      <c r="G19" s="7">
        <v>4530000</v>
      </c>
      <c r="H19" s="7">
        <v>3110397.41</v>
      </c>
      <c r="I19" s="7">
        <v>269375.59000000003</v>
      </c>
      <c r="J19" s="7"/>
      <c r="K19" s="7">
        <f t="shared" si="2"/>
        <v>269375.59000000003</v>
      </c>
      <c r="L19" s="7">
        <f t="shared" si="3"/>
        <v>3379773</v>
      </c>
      <c r="M19" s="15">
        <f t="shared" si="4"/>
        <v>2900227</v>
      </c>
      <c r="N19" s="15"/>
      <c r="O19" s="7">
        <f t="shared" si="5"/>
        <v>0</v>
      </c>
      <c r="P19" s="7">
        <f t="shared" si="6"/>
        <v>1150227</v>
      </c>
      <c r="Q19" s="152">
        <v>1750000</v>
      </c>
      <c r="R19" s="15"/>
      <c r="S19" s="7">
        <f t="shared" ref="S19:S54" si="12">SUM(Q19:R19)</f>
        <v>1750000</v>
      </c>
      <c r="T19" s="15">
        <f t="shared" ref="T19:T54" si="13">P19-M19+S19</f>
        <v>0</v>
      </c>
      <c r="U19" s="15">
        <f t="shared" ref="U19:U26" si="14">N19-T19</f>
        <v>0</v>
      </c>
      <c r="V19" s="15">
        <f t="shared" ref="V19:V54" si="15">U19-W19-X19-Y19</f>
        <v>0</v>
      </c>
      <c r="W19" s="7"/>
      <c r="X19" s="7"/>
      <c r="Y19" s="14"/>
      <c r="Z19" s="6">
        <v>826000</v>
      </c>
      <c r="AA19" s="8"/>
      <c r="AF19" s="3"/>
      <c r="AG19" s="7"/>
      <c r="AH19" s="7">
        <f t="shared" si="1"/>
        <v>0</v>
      </c>
    </row>
    <row r="20" spans="1:34" s="8" customFormat="1" x14ac:dyDescent="0.25">
      <c r="A20" s="6">
        <f t="shared" si="11"/>
        <v>15</v>
      </c>
      <c r="B20" s="6">
        <v>1402</v>
      </c>
      <c r="C20" s="14" t="s">
        <v>213</v>
      </c>
      <c r="D20" s="15">
        <v>6500000</v>
      </c>
      <c r="E20" s="7">
        <v>6500000</v>
      </c>
      <c r="F20" s="7">
        <f t="shared" si="0"/>
        <v>0</v>
      </c>
      <c r="G20" s="7">
        <v>6500000</v>
      </c>
      <c r="H20" s="7">
        <v>2294901</v>
      </c>
      <c r="I20" s="7">
        <v>3212194</v>
      </c>
      <c r="J20" s="7"/>
      <c r="K20" s="7">
        <f t="shared" si="2"/>
        <v>3212194</v>
      </c>
      <c r="L20" s="7">
        <f t="shared" si="3"/>
        <v>5507095</v>
      </c>
      <c r="M20" s="15">
        <f t="shared" si="4"/>
        <v>992905</v>
      </c>
      <c r="N20" s="15"/>
      <c r="O20" s="7">
        <f t="shared" si="5"/>
        <v>0</v>
      </c>
      <c r="P20" s="7">
        <f t="shared" si="6"/>
        <v>992905</v>
      </c>
      <c r="Q20" s="7"/>
      <c r="R20" s="15"/>
      <c r="S20" s="7">
        <f t="shared" si="12"/>
        <v>0</v>
      </c>
      <c r="T20" s="15">
        <f t="shared" si="13"/>
        <v>0</v>
      </c>
      <c r="U20" s="15">
        <f t="shared" si="14"/>
        <v>0</v>
      </c>
      <c r="V20" s="15">
        <f t="shared" si="15"/>
        <v>0</v>
      </c>
      <c r="W20" s="7"/>
      <c r="X20" s="7"/>
      <c r="Y20" s="14"/>
      <c r="Z20" s="6">
        <v>714000</v>
      </c>
      <c r="AF20" s="6"/>
      <c r="AG20" s="7"/>
      <c r="AH20" s="7">
        <f t="shared" si="1"/>
        <v>0</v>
      </c>
    </row>
    <row r="21" spans="1:34" s="8" customFormat="1" x14ac:dyDescent="0.25">
      <c r="A21" s="6">
        <f t="shared" si="11"/>
        <v>16</v>
      </c>
      <c r="B21" s="6">
        <v>1403</v>
      </c>
      <c r="C21" s="14" t="s">
        <v>214</v>
      </c>
      <c r="D21" s="15">
        <v>26050000</v>
      </c>
      <c r="E21" s="7">
        <v>26050000</v>
      </c>
      <c r="F21" s="7">
        <f t="shared" si="0"/>
        <v>0</v>
      </c>
      <c r="G21" s="7">
        <v>3050000</v>
      </c>
      <c r="H21" s="7">
        <v>2018022.86</v>
      </c>
      <c r="I21" s="7">
        <v>531477.56999999995</v>
      </c>
      <c r="J21" s="7"/>
      <c r="K21" s="7">
        <f t="shared" si="2"/>
        <v>531477.56999999995</v>
      </c>
      <c r="L21" s="7">
        <f t="shared" si="3"/>
        <v>2549500.4300000002</v>
      </c>
      <c r="M21" s="15">
        <f t="shared" si="4"/>
        <v>11500499.57</v>
      </c>
      <c r="N21" s="15">
        <f>12000000-6000000-1000000</f>
        <v>5000000</v>
      </c>
      <c r="O21" s="7">
        <f t="shared" si="5"/>
        <v>7000000</v>
      </c>
      <c r="P21" s="7">
        <f t="shared" si="6"/>
        <v>500499.56999999983</v>
      </c>
      <c r="Q21" s="152">
        <v>11000000</v>
      </c>
      <c r="R21" s="15"/>
      <c r="S21" s="7">
        <f t="shared" si="12"/>
        <v>11000000</v>
      </c>
      <c r="T21" s="15">
        <f t="shared" si="13"/>
        <v>0</v>
      </c>
      <c r="U21" s="15">
        <f t="shared" si="14"/>
        <v>5000000</v>
      </c>
      <c r="V21" s="15">
        <f t="shared" si="15"/>
        <v>1500000</v>
      </c>
      <c r="W21" s="7"/>
      <c r="X21" s="7"/>
      <c r="Y21" s="15">
        <v>3500000</v>
      </c>
      <c r="Z21" s="6">
        <v>826000</v>
      </c>
      <c r="AF21" s="6"/>
      <c r="AG21" s="7"/>
      <c r="AH21" s="232">
        <f t="shared" si="1"/>
        <v>1500000</v>
      </c>
    </row>
    <row r="22" spans="1:34" s="8" customFormat="1" x14ac:dyDescent="0.25">
      <c r="A22" s="6">
        <f t="shared" si="11"/>
        <v>17</v>
      </c>
      <c r="B22" s="6">
        <v>1443</v>
      </c>
      <c r="C22" s="14" t="s">
        <v>215</v>
      </c>
      <c r="D22" s="15">
        <v>78500000</v>
      </c>
      <c r="E22" s="7">
        <v>78500000</v>
      </c>
      <c r="F22" s="7">
        <f t="shared" si="0"/>
        <v>0</v>
      </c>
      <c r="G22" s="7">
        <v>50840000</v>
      </c>
      <c r="H22" s="7">
        <v>50765998</v>
      </c>
      <c r="I22" s="7">
        <v>72871.649999999994</v>
      </c>
      <c r="J22" s="7"/>
      <c r="K22" s="7">
        <f t="shared" si="2"/>
        <v>72871.649999999994</v>
      </c>
      <c r="L22" s="7">
        <f t="shared" si="3"/>
        <v>50838869.649999999</v>
      </c>
      <c r="M22" s="15">
        <f t="shared" si="4"/>
        <v>1130.3500000014901</v>
      </c>
      <c r="N22" s="15">
        <v>27660000</v>
      </c>
      <c r="O22" s="7">
        <f t="shared" si="5"/>
        <v>0</v>
      </c>
      <c r="P22" s="7">
        <f t="shared" si="6"/>
        <v>1130.3500000014901</v>
      </c>
      <c r="Q22" s="7"/>
      <c r="R22" s="15"/>
      <c r="S22" s="7">
        <f t="shared" si="12"/>
        <v>0</v>
      </c>
      <c r="T22" s="15">
        <f t="shared" si="13"/>
        <v>0</v>
      </c>
      <c r="U22" s="15">
        <f t="shared" si="14"/>
        <v>27660000</v>
      </c>
      <c r="V22" s="15">
        <f t="shared" si="15"/>
        <v>0</v>
      </c>
      <c r="W22" s="7"/>
      <c r="X22" s="7"/>
      <c r="Y22" s="15">
        <v>27660000</v>
      </c>
      <c r="Z22" s="6">
        <v>749000</v>
      </c>
      <c r="AF22" s="6"/>
      <c r="AG22" s="7"/>
      <c r="AH22" s="7">
        <f t="shared" si="1"/>
        <v>0</v>
      </c>
    </row>
    <row r="23" spans="1:34" s="8" customFormat="1" x14ac:dyDescent="0.25">
      <c r="A23" s="6">
        <f t="shared" si="11"/>
        <v>18</v>
      </c>
      <c r="B23" s="6">
        <v>1446</v>
      </c>
      <c r="C23" s="14" t="s">
        <v>494</v>
      </c>
      <c r="D23" s="15">
        <v>14250000</v>
      </c>
      <c r="E23" s="7">
        <v>14250000</v>
      </c>
      <c r="F23" s="7">
        <f t="shared" si="0"/>
        <v>0</v>
      </c>
      <c r="G23" s="7">
        <v>5000000</v>
      </c>
      <c r="H23" s="7">
        <v>1897075.42</v>
      </c>
      <c r="I23" s="7">
        <v>3017169.83</v>
      </c>
      <c r="J23" s="7">
        <v>1.1599999999999999</v>
      </c>
      <c r="K23" s="7">
        <f t="shared" si="2"/>
        <v>3017170.99</v>
      </c>
      <c r="L23" s="7">
        <f t="shared" si="3"/>
        <v>4914246.41</v>
      </c>
      <c r="M23" s="15">
        <f t="shared" si="4"/>
        <v>85753.589999999851</v>
      </c>
      <c r="N23" s="15">
        <f>9250000-9250000</f>
        <v>0</v>
      </c>
      <c r="O23" s="7">
        <f t="shared" si="5"/>
        <v>9250000</v>
      </c>
      <c r="P23" s="7">
        <f t="shared" si="6"/>
        <v>85753.589999999851</v>
      </c>
      <c r="Q23" s="7"/>
      <c r="R23" s="15"/>
      <c r="S23" s="7">
        <f t="shared" si="12"/>
        <v>0</v>
      </c>
      <c r="T23" s="15">
        <f t="shared" si="13"/>
        <v>0</v>
      </c>
      <c r="U23" s="15">
        <f t="shared" si="14"/>
        <v>0</v>
      </c>
      <c r="V23" s="15">
        <f t="shared" si="15"/>
        <v>0</v>
      </c>
      <c r="W23" s="7"/>
      <c r="X23" s="7"/>
      <c r="Y23" s="14"/>
      <c r="Z23" s="6">
        <v>742000</v>
      </c>
      <c r="AF23" s="6"/>
      <c r="AG23" s="7"/>
      <c r="AH23" s="7">
        <f t="shared" si="1"/>
        <v>0</v>
      </c>
    </row>
    <row r="24" spans="1:34" s="8" customFormat="1" x14ac:dyDescent="0.25">
      <c r="A24" s="6">
        <f t="shared" si="11"/>
        <v>19</v>
      </c>
      <c r="B24" s="6">
        <v>1448</v>
      </c>
      <c r="C24" s="14" t="s">
        <v>216</v>
      </c>
      <c r="D24" s="15">
        <v>6002877</v>
      </c>
      <c r="E24" s="7">
        <v>6002877</v>
      </c>
      <c r="F24" s="7">
        <f t="shared" si="0"/>
        <v>0</v>
      </c>
      <c r="G24" s="7">
        <v>6002877</v>
      </c>
      <c r="H24" s="7">
        <v>5965206</v>
      </c>
      <c r="I24" s="7">
        <v>36951.629999999997</v>
      </c>
      <c r="J24" s="7"/>
      <c r="K24" s="7">
        <f t="shared" si="2"/>
        <v>36951.629999999997</v>
      </c>
      <c r="L24" s="7">
        <f t="shared" si="3"/>
        <v>6002157.6299999999</v>
      </c>
      <c r="M24" s="15">
        <f t="shared" si="4"/>
        <v>719.37000000011176</v>
      </c>
      <c r="N24" s="15"/>
      <c r="O24" s="7">
        <f t="shared" si="5"/>
        <v>0</v>
      </c>
      <c r="P24" s="7">
        <f t="shared" si="6"/>
        <v>719.37000000011176</v>
      </c>
      <c r="Q24" s="7"/>
      <c r="R24" s="15"/>
      <c r="S24" s="7">
        <f t="shared" si="12"/>
        <v>0</v>
      </c>
      <c r="T24" s="15">
        <f t="shared" si="13"/>
        <v>0</v>
      </c>
      <c r="U24" s="15">
        <f t="shared" si="14"/>
        <v>0</v>
      </c>
      <c r="V24" s="15">
        <f t="shared" si="15"/>
        <v>0</v>
      </c>
      <c r="W24" s="7"/>
      <c r="X24" s="7"/>
      <c r="Y24" s="14"/>
      <c r="Z24" s="6">
        <v>850000</v>
      </c>
      <c r="AF24" s="6"/>
      <c r="AG24" s="7"/>
      <c r="AH24" s="7">
        <f t="shared" si="1"/>
        <v>0</v>
      </c>
    </row>
    <row r="25" spans="1:34" s="8" customFormat="1" x14ac:dyDescent="0.25">
      <c r="A25" s="6">
        <f t="shared" si="11"/>
        <v>20</v>
      </c>
      <c r="B25" s="6">
        <v>1455</v>
      </c>
      <c r="C25" s="14" t="s">
        <v>59</v>
      </c>
      <c r="D25" s="15">
        <v>4500000</v>
      </c>
      <c r="E25" s="7">
        <v>4500000</v>
      </c>
      <c r="F25" s="7">
        <f t="shared" si="0"/>
        <v>0</v>
      </c>
      <c r="G25" s="7">
        <v>4500000</v>
      </c>
      <c r="H25" s="7">
        <v>307504</v>
      </c>
      <c r="I25" s="7">
        <v>4090187</v>
      </c>
      <c r="J25" s="7"/>
      <c r="K25" s="7">
        <f t="shared" ref="K25:K75" si="16">SUM(I25:J25)</f>
        <v>4090187</v>
      </c>
      <c r="L25" s="7">
        <f t="shared" ref="L25:L76" si="17">H25+K25</f>
        <v>4397691</v>
      </c>
      <c r="M25" s="15">
        <f t="shared" ref="M25:M76" si="18">P25+S25</f>
        <v>102309</v>
      </c>
      <c r="N25" s="15"/>
      <c r="O25" s="7">
        <f t="shared" ref="O25:O105" si="19">D25-L25-M25-N25</f>
        <v>0</v>
      </c>
      <c r="P25" s="7">
        <f t="shared" ref="P25:P76" si="20">G25-L25</f>
        <v>102309</v>
      </c>
      <c r="Q25" s="7"/>
      <c r="R25" s="15"/>
      <c r="S25" s="7">
        <f t="shared" si="12"/>
        <v>0</v>
      </c>
      <c r="T25" s="15">
        <f t="shared" si="13"/>
        <v>0</v>
      </c>
      <c r="U25" s="15">
        <f t="shared" si="14"/>
        <v>0</v>
      </c>
      <c r="V25" s="15">
        <f t="shared" si="15"/>
        <v>0</v>
      </c>
      <c r="W25" s="7"/>
      <c r="X25" s="7"/>
      <c r="Y25" s="14"/>
      <c r="Z25" s="6">
        <v>742000</v>
      </c>
      <c r="AF25" s="6"/>
      <c r="AG25" s="7"/>
      <c r="AH25" s="7">
        <f t="shared" si="1"/>
        <v>0</v>
      </c>
    </row>
    <row r="26" spans="1:34" s="16" customFormat="1" x14ac:dyDescent="0.25">
      <c r="A26" s="6">
        <f t="shared" si="11"/>
        <v>21</v>
      </c>
      <c r="B26" s="14">
        <v>1462</v>
      </c>
      <c r="C26" s="14" t="s">
        <v>673</v>
      </c>
      <c r="D26" s="15">
        <v>4600000</v>
      </c>
      <c r="E26" s="15">
        <v>4600000</v>
      </c>
      <c r="F26" s="7">
        <f t="shared" si="0"/>
        <v>0</v>
      </c>
      <c r="G26" s="15">
        <v>570000</v>
      </c>
      <c r="H26" s="15">
        <v>105529.7</v>
      </c>
      <c r="I26" s="15">
        <v>128304.36</v>
      </c>
      <c r="J26" s="15"/>
      <c r="K26" s="15">
        <f>SUM(I26:J26)</f>
        <v>128304.36</v>
      </c>
      <c r="L26" s="15">
        <f t="shared" si="17"/>
        <v>233834.06</v>
      </c>
      <c r="M26" s="15">
        <f t="shared" si="18"/>
        <v>4366165.9400000004</v>
      </c>
      <c r="N26" s="15"/>
      <c r="O26" s="15">
        <f t="shared" si="19"/>
        <v>0</v>
      </c>
      <c r="P26" s="15">
        <f t="shared" si="20"/>
        <v>336165.94</v>
      </c>
      <c r="Q26" s="197">
        <v>2830000</v>
      </c>
      <c r="R26" s="15">
        <v>1200000</v>
      </c>
      <c r="S26" s="15">
        <f>SUM(Q26:R26)</f>
        <v>4030000</v>
      </c>
      <c r="T26" s="15">
        <f t="shared" si="13"/>
        <v>0</v>
      </c>
      <c r="U26" s="15">
        <f t="shared" si="14"/>
        <v>0</v>
      </c>
      <c r="V26" s="15">
        <f>U26-Y26-W26-X26</f>
        <v>0</v>
      </c>
      <c r="W26" s="15"/>
      <c r="X26" s="15"/>
      <c r="Y26" s="14"/>
      <c r="Z26" s="14">
        <v>742000</v>
      </c>
      <c r="AF26" s="14"/>
      <c r="AG26" s="7"/>
      <c r="AH26" s="7">
        <f t="shared" si="1"/>
        <v>0</v>
      </c>
    </row>
    <row r="27" spans="1:34" s="8" customFormat="1" x14ac:dyDescent="0.25">
      <c r="A27" s="6">
        <f t="shared" si="11"/>
        <v>22</v>
      </c>
      <c r="B27" s="6">
        <v>1539</v>
      </c>
      <c r="C27" s="14" t="s">
        <v>61</v>
      </c>
      <c r="D27" s="15">
        <f>29050000-12750000</f>
        <v>16300000</v>
      </c>
      <c r="E27" s="7">
        <v>29050000</v>
      </c>
      <c r="F27" s="7">
        <f t="shared" si="0"/>
        <v>-12750000</v>
      </c>
      <c r="G27" s="7">
        <v>1300000</v>
      </c>
      <c r="H27" s="7">
        <v>530442.37</v>
      </c>
      <c r="I27" s="7">
        <v>476218.11</v>
      </c>
      <c r="J27" s="7">
        <v>103896.1</v>
      </c>
      <c r="K27" s="7">
        <f t="shared" si="16"/>
        <v>580114.21</v>
      </c>
      <c r="L27" s="7">
        <f t="shared" si="17"/>
        <v>1110556.58</v>
      </c>
      <c r="M27" s="15">
        <f t="shared" si="18"/>
        <v>189443.41999999993</v>
      </c>
      <c r="N27" s="15">
        <f>15000000-10000000-2000000</f>
        <v>3000000</v>
      </c>
      <c r="O27" s="7">
        <f t="shared" si="19"/>
        <v>12000000</v>
      </c>
      <c r="P27" s="7">
        <f t="shared" si="20"/>
        <v>189443.41999999993</v>
      </c>
      <c r="Q27" s="7"/>
      <c r="R27" s="15"/>
      <c r="S27" s="7">
        <f t="shared" si="12"/>
        <v>0</v>
      </c>
      <c r="T27" s="15">
        <f t="shared" si="13"/>
        <v>0</v>
      </c>
      <c r="U27" s="15">
        <f t="shared" ref="U27:U63" si="21">N27-T27</f>
        <v>3000000</v>
      </c>
      <c r="V27" s="15">
        <f t="shared" si="15"/>
        <v>3000000</v>
      </c>
      <c r="W27" s="7"/>
      <c r="X27" s="7"/>
      <c r="Y27" s="14"/>
      <c r="Z27" s="6">
        <v>742000</v>
      </c>
      <c r="AF27" s="6"/>
      <c r="AG27" s="7"/>
      <c r="AH27" s="232">
        <f t="shared" si="1"/>
        <v>3000000</v>
      </c>
    </row>
    <row r="28" spans="1:34" s="9" customFormat="1" x14ac:dyDescent="0.25">
      <c r="A28" s="6">
        <f t="shared" si="11"/>
        <v>23</v>
      </c>
      <c r="B28" s="6">
        <v>1541</v>
      </c>
      <c r="C28" s="14" t="s">
        <v>326</v>
      </c>
      <c r="D28" s="15">
        <v>2650000</v>
      </c>
      <c r="E28" s="7">
        <v>2650000</v>
      </c>
      <c r="F28" s="7">
        <f t="shared" si="0"/>
        <v>0</v>
      </c>
      <c r="G28" s="7">
        <v>2650000</v>
      </c>
      <c r="H28" s="7">
        <v>1834859.56</v>
      </c>
      <c r="I28" s="7">
        <v>760455.51</v>
      </c>
      <c r="J28" s="7"/>
      <c r="K28" s="7">
        <f t="shared" si="16"/>
        <v>760455.51</v>
      </c>
      <c r="L28" s="7">
        <f t="shared" si="17"/>
        <v>2595315.0700000003</v>
      </c>
      <c r="M28" s="15">
        <f t="shared" si="18"/>
        <v>54684.929999999702</v>
      </c>
      <c r="N28" s="15"/>
      <c r="O28" s="7">
        <f t="shared" si="19"/>
        <v>0</v>
      </c>
      <c r="P28" s="7">
        <f t="shared" si="20"/>
        <v>54684.929999999702</v>
      </c>
      <c r="Q28" s="7"/>
      <c r="R28" s="15"/>
      <c r="S28" s="7">
        <f t="shared" si="12"/>
        <v>0</v>
      </c>
      <c r="T28" s="15">
        <f t="shared" si="13"/>
        <v>0</v>
      </c>
      <c r="U28" s="15">
        <f t="shared" si="21"/>
        <v>0</v>
      </c>
      <c r="V28" s="15">
        <f t="shared" si="15"/>
        <v>0</v>
      </c>
      <c r="W28" s="7"/>
      <c r="X28" s="7"/>
      <c r="Y28" s="14"/>
      <c r="Z28" s="6">
        <v>829000</v>
      </c>
      <c r="AA28" s="8"/>
      <c r="AF28" s="3"/>
      <c r="AG28" s="3"/>
      <c r="AH28" s="7">
        <f t="shared" si="1"/>
        <v>0</v>
      </c>
    </row>
    <row r="29" spans="1:34" s="9" customFormat="1" x14ac:dyDescent="0.25">
      <c r="A29" s="6">
        <f t="shared" si="11"/>
        <v>24</v>
      </c>
      <c r="B29" s="6">
        <v>1555</v>
      </c>
      <c r="C29" s="14" t="s">
        <v>217</v>
      </c>
      <c r="D29" s="15">
        <f>7500000-3250000</f>
        <v>4250000</v>
      </c>
      <c r="E29" s="7">
        <v>7500000</v>
      </c>
      <c r="F29" s="7">
        <f t="shared" si="0"/>
        <v>-3250000</v>
      </c>
      <c r="G29" s="7">
        <v>4250000</v>
      </c>
      <c r="H29" s="7">
        <v>3655272</v>
      </c>
      <c r="I29" s="7">
        <v>561713.98</v>
      </c>
      <c r="J29" s="7"/>
      <c r="K29" s="7">
        <f t="shared" si="16"/>
        <v>561713.98</v>
      </c>
      <c r="L29" s="7">
        <f t="shared" si="17"/>
        <v>4216985.9800000004</v>
      </c>
      <c r="M29" s="15">
        <f t="shared" si="18"/>
        <v>33014.019999999553</v>
      </c>
      <c r="N29" s="15"/>
      <c r="O29" s="7">
        <f t="shared" si="19"/>
        <v>0</v>
      </c>
      <c r="P29" s="7">
        <f t="shared" si="20"/>
        <v>33014.019999999553</v>
      </c>
      <c r="Q29" s="7"/>
      <c r="R29" s="15"/>
      <c r="S29" s="7">
        <f t="shared" si="12"/>
        <v>0</v>
      </c>
      <c r="T29" s="15">
        <f t="shared" si="13"/>
        <v>0</v>
      </c>
      <c r="U29" s="15">
        <f t="shared" si="21"/>
        <v>0</v>
      </c>
      <c r="V29" s="15">
        <f t="shared" si="15"/>
        <v>0</v>
      </c>
      <c r="W29" s="7"/>
      <c r="X29" s="7"/>
      <c r="Y29" s="14"/>
      <c r="Z29" s="6">
        <v>828000</v>
      </c>
      <c r="AA29" s="8"/>
      <c r="AF29" s="3"/>
      <c r="AG29" s="7"/>
      <c r="AH29" s="7">
        <f t="shared" si="1"/>
        <v>0</v>
      </c>
    </row>
    <row r="30" spans="1:34" s="16" customFormat="1" x14ac:dyDescent="0.25">
      <c r="A30" s="6">
        <f t="shared" si="11"/>
        <v>25</v>
      </c>
      <c r="B30" s="14">
        <v>1588</v>
      </c>
      <c r="C30" s="14" t="s">
        <v>44</v>
      </c>
      <c r="D30" s="15">
        <f>40000000+10500000</f>
        <v>50500000</v>
      </c>
      <c r="E30" s="15">
        <v>40000000</v>
      </c>
      <c r="F30" s="7">
        <f t="shared" si="0"/>
        <v>10500000</v>
      </c>
      <c r="G30" s="15">
        <v>3000000</v>
      </c>
      <c r="H30" s="15">
        <v>958520.17</v>
      </c>
      <c r="I30" s="15">
        <v>105059.51</v>
      </c>
      <c r="J30" s="15">
        <v>801012.77</v>
      </c>
      <c r="K30" s="15">
        <f>SUM(I30:J30)</f>
        <v>906072.28</v>
      </c>
      <c r="L30" s="15">
        <f t="shared" si="17"/>
        <v>1864592.4500000002</v>
      </c>
      <c r="M30" s="15">
        <f t="shared" si="18"/>
        <v>1135407.5499999998</v>
      </c>
      <c r="N30" s="15">
        <f>16000000+5500000-5500000-10000000-1000000</f>
        <v>5000000</v>
      </c>
      <c r="O30" s="15">
        <f t="shared" si="19"/>
        <v>42500000</v>
      </c>
      <c r="P30" s="15">
        <f t="shared" si="20"/>
        <v>1135407.5499999998</v>
      </c>
      <c r="Q30" s="15"/>
      <c r="R30" s="15"/>
      <c r="S30" s="15">
        <f>SUM(Q30:R30)</f>
        <v>0</v>
      </c>
      <c r="T30" s="15">
        <f t="shared" si="13"/>
        <v>0</v>
      </c>
      <c r="U30" s="15">
        <f t="shared" si="21"/>
        <v>5000000</v>
      </c>
      <c r="V30" s="15">
        <f>U30-Y30-W30-X30</f>
        <v>5000000</v>
      </c>
      <c r="W30" s="15"/>
      <c r="X30" s="15"/>
      <c r="Y30" s="14"/>
      <c r="Z30" s="14">
        <v>742000</v>
      </c>
      <c r="AF30" s="14"/>
      <c r="AG30" s="7"/>
      <c r="AH30" s="232">
        <f t="shared" si="1"/>
        <v>5000000</v>
      </c>
    </row>
    <row r="31" spans="1:34" s="8" customFormat="1" x14ac:dyDescent="0.25">
      <c r="A31" s="6">
        <f t="shared" si="11"/>
        <v>26</v>
      </c>
      <c r="B31" s="6">
        <v>1605</v>
      </c>
      <c r="C31" s="14" t="s">
        <v>88</v>
      </c>
      <c r="D31" s="15">
        <v>2200000</v>
      </c>
      <c r="E31" s="7">
        <v>2200000</v>
      </c>
      <c r="F31" s="7">
        <f t="shared" si="0"/>
        <v>0</v>
      </c>
      <c r="G31" s="7">
        <v>300000</v>
      </c>
      <c r="H31" s="7">
        <v>4862</v>
      </c>
      <c r="I31" s="7">
        <v>295009.42</v>
      </c>
      <c r="J31" s="7"/>
      <c r="K31" s="7">
        <f t="shared" si="16"/>
        <v>295009.42</v>
      </c>
      <c r="L31" s="7">
        <f t="shared" si="17"/>
        <v>299871.42</v>
      </c>
      <c r="M31" s="15">
        <f t="shared" si="18"/>
        <v>128.5800000000163</v>
      </c>
      <c r="N31" s="15">
        <f>1900000-1000000</f>
        <v>900000</v>
      </c>
      <c r="O31" s="7">
        <f t="shared" si="19"/>
        <v>1000000</v>
      </c>
      <c r="P31" s="7">
        <f t="shared" si="20"/>
        <v>128.5800000000163</v>
      </c>
      <c r="Q31" s="7"/>
      <c r="R31" s="15"/>
      <c r="S31" s="7">
        <f t="shared" si="12"/>
        <v>0</v>
      </c>
      <c r="T31" s="15">
        <f t="shared" si="13"/>
        <v>0</v>
      </c>
      <c r="U31" s="15">
        <f t="shared" si="21"/>
        <v>900000</v>
      </c>
      <c r="V31" s="15">
        <f t="shared" si="15"/>
        <v>900000</v>
      </c>
      <c r="W31" s="7"/>
      <c r="X31" s="7"/>
      <c r="Y31" s="14"/>
      <c r="Z31" s="6">
        <v>850000</v>
      </c>
      <c r="AF31" s="6"/>
      <c r="AG31" s="7"/>
      <c r="AH31" s="232">
        <f t="shared" si="1"/>
        <v>900000</v>
      </c>
    </row>
    <row r="32" spans="1:34" s="16" customFormat="1" ht="27.6" x14ac:dyDescent="0.25">
      <c r="A32" s="6">
        <f t="shared" si="11"/>
        <v>27</v>
      </c>
      <c r="B32" s="14">
        <v>1614</v>
      </c>
      <c r="C32" s="14" t="s">
        <v>674</v>
      </c>
      <c r="D32" s="15">
        <v>7200000</v>
      </c>
      <c r="E32" s="15">
        <v>7200000</v>
      </c>
      <c r="F32" s="7">
        <f t="shared" si="0"/>
        <v>0</v>
      </c>
      <c r="G32" s="15">
        <v>500000</v>
      </c>
      <c r="H32" s="15">
        <v>58635</v>
      </c>
      <c r="I32" s="15">
        <v>26065.26</v>
      </c>
      <c r="J32" s="15">
        <v>4790.92</v>
      </c>
      <c r="K32" s="15">
        <f>SUM(I32:J32)</f>
        <v>30856.18</v>
      </c>
      <c r="L32" s="15">
        <f t="shared" si="17"/>
        <v>89491.18</v>
      </c>
      <c r="M32" s="15">
        <f t="shared" si="18"/>
        <v>410508.82</v>
      </c>
      <c r="N32" s="15">
        <v>3700000</v>
      </c>
      <c r="O32" s="15">
        <f t="shared" si="19"/>
        <v>3000000</v>
      </c>
      <c r="P32" s="15">
        <f t="shared" si="20"/>
        <v>410508.82</v>
      </c>
      <c r="Q32" s="15"/>
      <c r="R32" s="15"/>
      <c r="S32" s="15">
        <f>SUM(Q32:R32)</f>
        <v>0</v>
      </c>
      <c r="T32" s="15">
        <f t="shared" si="13"/>
        <v>0</v>
      </c>
      <c r="U32" s="15">
        <f t="shared" si="21"/>
        <v>3700000</v>
      </c>
      <c r="V32" s="15">
        <f>U32-Y32-W32-X32</f>
        <v>3700000</v>
      </c>
      <c r="W32" s="15"/>
      <c r="X32" s="15"/>
      <c r="Y32" s="15"/>
      <c r="Z32" s="14">
        <v>742000</v>
      </c>
      <c r="AF32" s="14"/>
      <c r="AG32" s="7"/>
      <c r="AH32" s="232">
        <f t="shared" si="1"/>
        <v>3700000</v>
      </c>
    </row>
    <row r="33" spans="1:39" s="16" customFormat="1" x14ac:dyDescent="0.25">
      <c r="A33" s="6">
        <f t="shared" si="11"/>
        <v>28</v>
      </c>
      <c r="B33" s="14">
        <v>1615</v>
      </c>
      <c r="C33" s="14" t="s">
        <v>318</v>
      </c>
      <c r="D33" s="15">
        <v>27700000</v>
      </c>
      <c r="E33" s="15">
        <v>27700000</v>
      </c>
      <c r="F33" s="7">
        <f t="shared" si="0"/>
        <v>0</v>
      </c>
      <c r="G33" s="15">
        <v>3200000</v>
      </c>
      <c r="H33" s="15">
        <v>289143</v>
      </c>
      <c r="I33" s="15">
        <v>157349.5</v>
      </c>
      <c r="J33" s="15">
        <v>509270.94</v>
      </c>
      <c r="K33" s="15">
        <f>SUM(I33:J33)</f>
        <v>666620.43999999994</v>
      </c>
      <c r="L33" s="15">
        <f t="shared" si="17"/>
        <v>955763.44</v>
      </c>
      <c r="M33" s="15">
        <f t="shared" si="18"/>
        <v>2244236.56</v>
      </c>
      <c r="N33" s="15">
        <f>10000000-8000000+8000000</f>
        <v>10000000</v>
      </c>
      <c r="O33" s="15">
        <f t="shared" si="19"/>
        <v>14500000</v>
      </c>
      <c r="P33" s="15">
        <f t="shared" si="20"/>
        <v>2244236.56</v>
      </c>
      <c r="Q33" s="15"/>
      <c r="R33" s="15"/>
      <c r="S33" s="15">
        <f>SUM(Q33:R33)</f>
        <v>0</v>
      </c>
      <c r="T33" s="15">
        <f t="shared" si="13"/>
        <v>0</v>
      </c>
      <c r="U33" s="15">
        <f t="shared" si="21"/>
        <v>10000000</v>
      </c>
      <c r="V33" s="15">
        <f>U33-Y33-W33-X33</f>
        <v>10000000</v>
      </c>
      <c r="W33" s="15"/>
      <c r="X33" s="15"/>
      <c r="Y33" s="15"/>
      <c r="Z33" s="14">
        <v>742000</v>
      </c>
      <c r="AF33" s="14"/>
      <c r="AG33" s="7"/>
      <c r="AH33" s="7">
        <f t="shared" si="1"/>
        <v>10000000</v>
      </c>
    </row>
    <row r="34" spans="1:39" s="16" customFormat="1" x14ac:dyDescent="0.25">
      <c r="A34" s="6">
        <f t="shared" si="11"/>
        <v>29</v>
      </c>
      <c r="B34" s="14">
        <v>1616</v>
      </c>
      <c r="C34" s="14" t="s">
        <v>218</v>
      </c>
      <c r="D34" s="15">
        <f>3400000-2125000</f>
        <v>1275000</v>
      </c>
      <c r="E34" s="15">
        <v>3400000</v>
      </c>
      <c r="F34" s="7">
        <f t="shared" si="0"/>
        <v>-2125000</v>
      </c>
      <c r="G34" s="15">
        <f>350000+800000</f>
        <v>1150000</v>
      </c>
      <c r="H34" s="15">
        <v>32395</v>
      </c>
      <c r="I34" s="15">
        <v>317547.96000000002</v>
      </c>
      <c r="J34" s="15"/>
      <c r="K34" s="15">
        <f t="shared" si="16"/>
        <v>317547.96000000002</v>
      </c>
      <c r="L34" s="15">
        <f t="shared" si="17"/>
        <v>349942.96</v>
      </c>
      <c r="M34" s="15">
        <f t="shared" si="18"/>
        <v>800057.04</v>
      </c>
      <c r="N34" s="15">
        <v>125000</v>
      </c>
      <c r="O34" s="15">
        <f t="shared" si="19"/>
        <v>0</v>
      </c>
      <c r="P34" s="15">
        <f t="shared" si="20"/>
        <v>800057.04</v>
      </c>
      <c r="Q34" s="15"/>
      <c r="R34" s="15"/>
      <c r="S34" s="15">
        <f t="shared" si="12"/>
        <v>0</v>
      </c>
      <c r="T34" s="15">
        <f t="shared" si="13"/>
        <v>0</v>
      </c>
      <c r="U34" s="15">
        <f t="shared" si="21"/>
        <v>125000</v>
      </c>
      <c r="V34" s="15">
        <f t="shared" si="15"/>
        <v>125000</v>
      </c>
      <c r="W34" s="15"/>
      <c r="X34" s="15"/>
      <c r="Y34" s="14"/>
      <c r="Z34" s="14">
        <v>930000</v>
      </c>
      <c r="AF34" s="14"/>
      <c r="AG34" s="14"/>
      <c r="AH34" s="7">
        <f t="shared" si="1"/>
        <v>125000</v>
      </c>
    </row>
    <row r="35" spans="1:39" s="16" customFormat="1" x14ac:dyDescent="0.25">
      <c r="A35" s="6">
        <f t="shared" si="11"/>
        <v>30</v>
      </c>
      <c r="B35" s="14">
        <v>1625</v>
      </c>
      <c r="C35" s="14" t="s">
        <v>327</v>
      </c>
      <c r="D35" s="15">
        <v>13300000</v>
      </c>
      <c r="E35" s="15">
        <v>13300000</v>
      </c>
      <c r="F35" s="7">
        <f t="shared" si="0"/>
        <v>0</v>
      </c>
      <c r="G35" s="15">
        <v>5125000</v>
      </c>
      <c r="H35" s="15">
        <v>2157903.38</v>
      </c>
      <c r="I35" s="15">
        <v>920142.65</v>
      </c>
      <c r="J35" s="15">
        <v>1789152.33</v>
      </c>
      <c r="K35" s="15">
        <f t="shared" si="16"/>
        <v>2709294.98</v>
      </c>
      <c r="L35" s="15">
        <f t="shared" si="17"/>
        <v>4867198.3599999994</v>
      </c>
      <c r="M35" s="15">
        <f t="shared" si="18"/>
        <v>257801.6400000006</v>
      </c>
      <c r="N35" s="15"/>
      <c r="O35" s="15">
        <f t="shared" si="19"/>
        <v>8175000</v>
      </c>
      <c r="P35" s="15">
        <f t="shared" si="20"/>
        <v>257801.6400000006</v>
      </c>
      <c r="Q35" s="15"/>
      <c r="R35" s="15"/>
      <c r="S35" s="15">
        <f t="shared" si="12"/>
        <v>0</v>
      </c>
      <c r="T35" s="15">
        <f t="shared" si="13"/>
        <v>0</v>
      </c>
      <c r="U35" s="15">
        <f t="shared" si="21"/>
        <v>0</v>
      </c>
      <c r="V35" s="15">
        <f t="shared" si="15"/>
        <v>0</v>
      </c>
      <c r="W35" s="15"/>
      <c r="X35" s="15"/>
      <c r="Y35" s="14"/>
      <c r="Z35" s="14">
        <v>829000</v>
      </c>
      <c r="AF35" s="14"/>
      <c r="AG35" s="14"/>
      <c r="AH35" s="7">
        <f t="shared" si="1"/>
        <v>0</v>
      </c>
    </row>
    <row r="36" spans="1:39" s="16" customFormat="1" x14ac:dyDescent="0.25">
      <c r="A36" s="6">
        <f t="shared" si="11"/>
        <v>31</v>
      </c>
      <c r="B36" s="14">
        <v>1656</v>
      </c>
      <c r="C36" s="14" t="s">
        <v>64</v>
      </c>
      <c r="D36" s="15">
        <v>10800000</v>
      </c>
      <c r="E36" s="15">
        <v>10800000</v>
      </c>
      <c r="F36" s="7">
        <f t="shared" si="0"/>
        <v>0</v>
      </c>
      <c r="G36" s="15">
        <f>1500000+2000000</f>
        <v>3500000</v>
      </c>
      <c r="H36" s="15">
        <v>324600</v>
      </c>
      <c r="I36" s="15">
        <v>737880</v>
      </c>
      <c r="J36" s="15">
        <v>42781.91</v>
      </c>
      <c r="K36" s="15">
        <f t="shared" si="16"/>
        <v>780661.91</v>
      </c>
      <c r="L36" s="15">
        <f t="shared" si="17"/>
        <v>1105261.9100000001</v>
      </c>
      <c r="M36" s="15">
        <f t="shared" si="18"/>
        <v>9694738.0899999999</v>
      </c>
      <c r="N36" s="15"/>
      <c r="O36" s="15">
        <f t="shared" si="19"/>
        <v>0</v>
      </c>
      <c r="P36" s="15">
        <f t="shared" si="20"/>
        <v>2394738.09</v>
      </c>
      <c r="Q36" s="197">
        <f>9300000-2000000</f>
        <v>7300000</v>
      </c>
      <c r="R36" s="15"/>
      <c r="S36" s="15">
        <f t="shared" si="12"/>
        <v>7300000</v>
      </c>
      <c r="T36" s="15">
        <f t="shared" si="13"/>
        <v>0</v>
      </c>
      <c r="U36" s="15">
        <f t="shared" si="21"/>
        <v>0</v>
      </c>
      <c r="V36" s="15">
        <f t="shared" si="15"/>
        <v>0</v>
      </c>
      <c r="W36" s="15"/>
      <c r="X36" s="15"/>
      <c r="Y36" s="14"/>
      <c r="Z36" s="14">
        <v>742000</v>
      </c>
      <c r="AF36" s="14"/>
      <c r="AG36" s="14"/>
      <c r="AH36" s="7">
        <f t="shared" si="1"/>
        <v>0</v>
      </c>
    </row>
    <row r="37" spans="1:39" s="16" customFormat="1" x14ac:dyDescent="0.25">
      <c r="A37" s="6">
        <f t="shared" si="11"/>
        <v>32</v>
      </c>
      <c r="B37" s="14">
        <v>1657</v>
      </c>
      <c r="C37" s="69" t="s">
        <v>46</v>
      </c>
      <c r="D37" s="15">
        <v>60000000</v>
      </c>
      <c r="E37" s="15">
        <v>60000000</v>
      </c>
      <c r="F37" s="7">
        <f t="shared" si="0"/>
        <v>0</v>
      </c>
      <c r="G37" s="15">
        <v>2700000</v>
      </c>
      <c r="H37" s="15">
        <v>1180914</v>
      </c>
      <c r="I37" s="15">
        <v>497972</v>
      </c>
      <c r="J37" s="15">
        <v>174679.14</v>
      </c>
      <c r="K37" s="15">
        <f>SUM(I37:J37)</f>
        <v>672651.14</v>
      </c>
      <c r="L37" s="15">
        <f t="shared" si="17"/>
        <v>1853565.1400000001</v>
      </c>
      <c r="M37" s="15">
        <f t="shared" si="18"/>
        <v>846434.85999999987</v>
      </c>
      <c r="N37" s="15">
        <f>12000000+2000000-10000000+10000000</f>
        <v>14000000</v>
      </c>
      <c r="O37" s="15">
        <f t="shared" si="19"/>
        <v>43300000</v>
      </c>
      <c r="P37" s="15">
        <f t="shared" si="20"/>
        <v>846434.85999999987</v>
      </c>
      <c r="Q37" s="15"/>
      <c r="R37" s="15"/>
      <c r="S37" s="15">
        <f>SUM(Q37:R37)</f>
        <v>0</v>
      </c>
      <c r="T37" s="15">
        <f t="shared" si="13"/>
        <v>0</v>
      </c>
      <c r="U37" s="15">
        <f t="shared" si="21"/>
        <v>14000000</v>
      </c>
      <c r="V37" s="15">
        <f>U37-Y37-W37-X37</f>
        <v>14000000</v>
      </c>
      <c r="W37" s="15"/>
      <c r="X37" s="15"/>
      <c r="Y37" s="15"/>
      <c r="Z37" s="14">
        <v>742000</v>
      </c>
      <c r="AA37" s="70"/>
      <c r="AF37" s="14"/>
      <c r="AG37" s="7"/>
      <c r="AH37" s="7">
        <f t="shared" si="1"/>
        <v>14000000</v>
      </c>
    </row>
    <row r="38" spans="1:39" s="16" customFormat="1" x14ac:dyDescent="0.25">
      <c r="A38" s="6">
        <f t="shared" si="11"/>
        <v>33</v>
      </c>
      <c r="B38" s="14">
        <v>1718</v>
      </c>
      <c r="C38" s="14" t="s">
        <v>89</v>
      </c>
      <c r="D38" s="15">
        <v>13200000</v>
      </c>
      <c r="E38" s="7">
        <v>13200000</v>
      </c>
      <c r="F38" s="7">
        <f t="shared" si="0"/>
        <v>0</v>
      </c>
      <c r="G38" s="7">
        <v>1000000</v>
      </c>
      <c r="H38" s="7">
        <v>63611</v>
      </c>
      <c r="I38" s="7">
        <v>267433</v>
      </c>
      <c r="J38" s="7">
        <v>120535.74</v>
      </c>
      <c r="K38" s="7">
        <f>SUM(I38:J38)</f>
        <v>387968.74</v>
      </c>
      <c r="L38" s="7">
        <f t="shared" si="17"/>
        <v>451579.74</v>
      </c>
      <c r="M38" s="15">
        <f t="shared" si="18"/>
        <v>6648420.2599999998</v>
      </c>
      <c r="N38" s="15">
        <f>4800000-3800000+5100000</f>
        <v>6100000</v>
      </c>
      <c r="O38" s="7">
        <f t="shared" si="19"/>
        <v>0</v>
      </c>
      <c r="P38" s="7">
        <f t="shared" si="20"/>
        <v>548420.26</v>
      </c>
      <c r="Q38" s="197">
        <v>6100000</v>
      </c>
      <c r="R38" s="7"/>
      <c r="S38" s="7">
        <f>SUM(Q38:R38)</f>
        <v>6100000</v>
      </c>
      <c r="T38" s="15">
        <f t="shared" si="13"/>
        <v>0</v>
      </c>
      <c r="U38" s="15">
        <f t="shared" si="21"/>
        <v>6100000</v>
      </c>
      <c r="V38" s="15">
        <f>U38-Y38-W38-X38</f>
        <v>6100000</v>
      </c>
      <c r="W38" s="7"/>
      <c r="X38" s="7"/>
      <c r="Y38" s="14"/>
      <c r="Z38" s="14">
        <v>742000</v>
      </c>
      <c r="AF38" s="14"/>
      <c r="AG38" s="7"/>
      <c r="AH38" s="7">
        <f t="shared" ref="AH38:AH69" si="22">V38-AG38</f>
        <v>6100000</v>
      </c>
    </row>
    <row r="39" spans="1:39" s="16" customFormat="1" x14ac:dyDescent="0.25">
      <c r="A39" s="6">
        <f t="shared" si="11"/>
        <v>34</v>
      </c>
      <c r="B39" s="14">
        <v>1720</v>
      </c>
      <c r="C39" s="14" t="s">
        <v>91</v>
      </c>
      <c r="D39" s="15">
        <v>1500000</v>
      </c>
      <c r="E39" s="15">
        <v>1500000</v>
      </c>
      <c r="F39" s="7">
        <f t="shared" si="0"/>
        <v>0</v>
      </c>
      <c r="G39" s="15">
        <v>1500000</v>
      </c>
      <c r="H39" s="15">
        <v>626910</v>
      </c>
      <c r="I39" s="15">
        <v>734773</v>
      </c>
      <c r="J39" s="15"/>
      <c r="K39" s="15">
        <f t="shared" si="16"/>
        <v>734773</v>
      </c>
      <c r="L39" s="15">
        <f t="shared" si="17"/>
        <v>1361683</v>
      </c>
      <c r="M39" s="15">
        <f t="shared" si="18"/>
        <v>138317</v>
      </c>
      <c r="N39" s="15"/>
      <c r="O39" s="15">
        <f t="shared" si="19"/>
        <v>0</v>
      </c>
      <c r="P39" s="15">
        <f t="shared" si="20"/>
        <v>138317</v>
      </c>
      <c r="Q39" s="15"/>
      <c r="R39" s="15"/>
      <c r="S39" s="15">
        <f t="shared" si="12"/>
        <v>0</v>
      </c>
      <c r="T39" s="15">
        <f t="shared" si="13"/>
        <v>0</v>
      </c>
      <c r="U39" s="15">
        <f t="shared" si="21"/>
        <v>0</v>
      </c>
      <c r="V39" s="15">
        <f t="shared" si="15"/>
        <v>0</v>
      </c>
      <c r="W39" s="15"/>
      <c r="X39" s="15"/>
      <c r="Y39" s="14"/>
      <c r="Z39" s="14">
        <v>742000</v>
      </c>
      <c r="AF39" s="14"/>
      <c r="AG39" s="7"/>
      <c r="AH39" s="7">
        <f t="shared" si="22"/>
        <v>0</v>
      </c>
    </row>
    <row r="40" spans="1:39" s="16" customFormat="1" x14ac:dyDescent="0.25">
      <c r="A40" s="6">
        <f t="shared" si="11"/>
        <v>35</v>
      </c>
      <c r="B40" s="14">
        <v>1721</v>
      </c>
      <c r="C40" s="14" t="s">
        <v>92</v>
      </c>
      <c r="D40" s="15">
        <v>700000</v>
      </c>
      <c r="E40" s="15">
        <v>700000</v>
      </c>
      <c r="F40" s="7">
        <f t="shared" si="0"/>
        <v>0</v>
      </c>
      <c r="G40" s="15">
        <v>700000</v>
      </c>
      <c r="H40" s="15">
        <v>41377</v>
      </c>
      <c r="I40" s="15">
        <v>37250</v>
      </c>
      <c r="J40" s="15"/>
      <c r="K40" s="15">
        <f t="shared" si="16"/>
        <v>37250</v>
      </c>
      <c r="L40" s="15">
        <f t="shared" si="17"/>
        <v>78627</v>
      </c>
      <c r="M40" s="15">
        <f t="shared" si="18"/>
        <v>621373</v>
      </c>
      <c r="N40" s="15"/>
      <c r="O40" s="15">
        <f t="shared" si="19"/>
        <v>0</v>
      </c>
      <c r="P40" s="15">
        <f t="shared" si="20"/>
        <v>621373</v>
      </c>
      <c r="Q40" s="15"/>
      <c r="R40" s="15"/>
      <c r="S40" s="15">
        <f t="shared" si="12"/>
        <v>0</v>
      </c>
      <c r="T40" s="15">
        <f t="shared" si="13"/>
        <v>0</v>
      </c>
      <c r="U40" s="15">
        <f t="shared" si="21"/>
        <v>0</v>
      </c>
      <c r="V40" s="15">
        <f t="shared" si="15"/>
        <v>0</v>
      </c>
      <c r="W40" s="15"/>
      <c r="X40" s="15"/>
      <c r="Y40" s="14"/>
      <c r="Z40" s="14">
        <v>746000</v>
      </c>
      <c r="AF40" s="14"/>
      <c r="AG40" s="7"/>
      <c r="AH40" s="7">
        <f t="shared" si="22"/>
        <v>0</v>
      </c>
    </row>
    <row r="41" spans="1:39" s="16" customFormat="1" ht="27.6" x14ac:dyDescent="0.25">
      <c r="A41" s="6">
        <f t="shared" si="11"/>
        <v>36</v>
      </c>
      <c r="B41" s="14">
        <v>1723</v>
      </c>
      <c r="C41" s="14" t="s">
        <v>675</v>
      </c>
      <c r="D41" s="15">
        <f>9500000+2500000</f>
        <v>12000000</v>
      </c>
      <c r="E41" s="15">
        <v>9500000</v>
      </c>
      <c r="F41" s="7">
        <f t="shared" si="0"/>
        <v>2500000</v>
      </c>
      <c r="G41" s="15">
        <v>2000000</v>
      </c>
      <c r="H41" s="15">
        <v>55825</v>
      </c>
      <c r="I41" s="15">
        <v>518178.25</v>
      </c>
      <c r="J41" s="15"/>
      <c r="K41" s="15">
        <f t="shared" si="16"/>
        <v>518178.25</v>
      </c>
      <c r="L41" s="15">
        <f t="shared" si="17"/>
        <v>574003.25</v>
      </c>
      <c r="M41" s="15">
        <f t="shared" si="18"/>
        <v>1425996.75</v>
      </c>
      <c r="N41" s="15">
        <v>10000000</v>
      </c>
      <c r="O41" s="15">
        <f t="shared" si="19"/>
        <v>0</v>
      </c>
      <c r="P41" s="15">
        <f t="shared" si="20"/>
        <v>1425996.75</v>
      </c>
      <c r="Q41" s="15"/>
      <c r="R41" s="15"/>
      <c r="S41" s="15">
        <f t="shared" si="12"/>
        <v>0</v>
      </c>
      <c r="T41" s="15">
        <f t="shared" si="13"/>
        <v>0</v>
      </c>
      <c r="U41" s="15">
        <f t="shared" si="21"/>
        <v>10000000</v>
      </c>
      <c r="V41" s="15">
        <f t="shared" si="15"/>
        <v>1500000</v>
      </c>
      <c r="W41" s="15"/>
      <c r="X41" s="15"/>
      <c r="Y41" s="15">
        <v>8500000</v>
      </c>
      <c r="Z41" s="14">
        <v>732000</v>
      </c>
      <c r="AF41" s="14"/>
      <c r="AG41" s="7"/>
      <c r="AH41" s="7">
        <f t="shared" si="22"/>
        <v>1500000</v>
      </c>
    </row>
    <row r="42" spans="1:39" s="16" customFormat="1" x14ac:dyDescent="0.25">
      <c r="A42" s="6">
        <f t="shared" si="11"/>
        <v>37</v>
      </c>
      <c r="B42" s="14">
        <v>1727</v>
      </c>
      <c r="C42" s="14" t="s">
        <v>93</v>
      </c>
      <c r="D42" s="15">
        <v>400000</v>
      </c>
      <c r="E42" s="15">
        <v>400000</v>
      </c>
      <c r="F42" s="7">
        <f t="shared" si="0"/>
        <v>0</v>
      </c>
      <c r="G42" s="15">
        <v>400000</v>
      </c>
      <c r="H42" s="15">
        <v>292249</v>
      </c>
      <c r="I42" s="15">
        <v>86789.22</v>
      </c>
      <c r="J42" s="15"/>
      <c r="K42" s="15">
        <f t="shared" si="16"/>
        <v>86789.22</v>
      </c>
      <c r="L42" s="15">
        <f t="shared" si="17"/>
        <v>379038.22</v>
      </c>
      <c r="M42" s="15">
        <f t="shared" si="18"/>
        <v>20961.780000000028</v>
      </c>
      <c r="N42" s="15"/>
      <c r="O42" s="15">
        <f t="shared" si="19"/>
        <v>0</v>
      </c>
      <c r="P42" s="15">
        <f t="shared" si="20"/>
        <v>20961.780000000028</v>
      </c>
      <c r="Q42" s="15"/>
      <c r="R42" s="15"/>
      <c r="S42" s="15">
        <f t="shared" si="12"/>
        <v>0</v>
      </c>
      <c r="T42" s="15">
        <f t="shared" si="13"/>
        <v>0</v>
      </c>
      <c r="U42" s="15">
        <f t="shared" si="21"/>
        <v>0</v>
      </c>
      <c r="V42" s="15">
        <f t="shared" si="15"/>
        <v>0</v>
      </c>
      <c r="W42" s="15"/>
      <c r="X42" s="15"/>
      <c r="Y42" s="14"/>
      <c r="Z42" s="14">
        <v>742000</v>
      </c>
      <c r="AF42" s="14"/>
      <c r="AG42" s="14"/>
      <c r="AH42" s="7">
        <f t="shared" si="22"/>
        <v>0</v>
      </c>
    </row>
    <row r="43" spans="1:39" s="16" customFormat="1" ht="27.6" x14ac:dyDescent="0.25">
      <c r="A43" s="6">
        <f t="shared" si="11"/>
        <v>38</v>
      </c>
      <c r="B43" s="14">
        <v>1739</v>
      </c>
      <c r="C43" s="14" t="s">
        <v>269</v>
      </c>
      <c r="D43" s="15">
        <v>6550000</v>
      </c>
      <c r="E43" s="15">
        <v>6550000</v>
      </c>
      <c r="F43" s="7">
        <f t="shared" si="0"/>
        <v>0</v>
      </c>
      <c r="G43" s="15">
        <v>6550000</v>
      </c>
      <c r="H43" s="15">
        <v>5352495</v>
      </c>
      <c r="I43" s="15">
        <v>601062.25</v>
      </c>
      <c r="J43" s="15"/>
      <c r="K43" s="15">
        <f t="shared" si="16"/>
        <v>601062.25</v>
      </c>
      <c r="L43" s="15">
        <f t="shared" si="17"/>
        <v>5953557.25</v>
      </c>
      <c r="M43" s="15">
        <f t="shared" si="18"/>
        <v>596442.75</v>
      </c>
      <c r="N43" s="15"/>
      <c r="O43" s="15">
        <f t="shared" si="19"/>
        <v>0</v>
      </c>
      <c r="P43" s="15">
        <f t="shared" si="20"/>
        <v>596442.75</v>
      </c>
      <c r="Q43" s="15"/>
      <c r="R43" s="15"/>
      <c r="S43" s="15">
        <f t="shared" si="12"/>
        <v>0</v>
      </c>
      <c r="T43" s="15">
        <f t="shared" si="13"/>
        <v>0</v>
      </c>
      <c r="U43" s="15">
        <f t="shared" si="21"/>
        <v>0</v>
      </c>
      <c r="V43" s="15">
        <f t="shared" si="15"/>
        <v>0</v>
      </c>
      <c r="W43" s="15"/>
      <c r="X43" s="15"/>
      <c r="Y43" s="14"/>
      <c r="Z43" s="386">
        <v>829000</v>
      </c>
      <c r="AF43" s="14"/>
      <c r="AG43" s="14"/>
      <c r="AH43" s="7">
        <f t="shared" si="22"/>
        <v>0</v>
      </c>
    </row>
    <row r="44" spans="1:39" s="16" customFormat="1" x14ac:dyDescent="0.25">
      <c r="A44" s="6">
        <f t="shared" si="11"/>
        <v>39</v>
      </c>
      <c r="B44" s="14">
        <v>1745</v>
      </c>
      <c r="C44" s="14" t="s">
        <v>71</v>
      </c>
      <c r="D44" s="15">
        <v>2000000</v>
      </c>
      <c r="E44" s="15">
        <v>2000000</v>
      </c>
      <c r="F44" s="7">
        <f t="shared" si="0"/>
        <v>0</v>
      </c>
      <c r="G44" s="15">
        <v>2000000</v>
      </c>
      <c r="H44" s="15">
        <v>0</v>
      </c>
      <c r="I44" s="15"/>
      <c r="J44" s="15"/>
      <c r="K44" s="15">
        <f t="shared" si="16"/>
        <v>0</v>
      </c>
      <c r="L44" s="15">
        <f t="shared" si="17"/>
        <v>0</v>
      </c>
      <c r="M44" s="15">
        <f t="shared" si="18"/>
        <v>2000000</v>
      </c>
      <c r="N44" s="15"/>
      <c r="O44" s="15">
        <f t="shared" si="19"/>
        <v>0</v>
      </c>
      <c r="P44" s="15">
        <f t="shared" si="20"/>
        <v>2000000</v>
      </c>
      <c r="Q44" s="15"/>
      <c r="R44" s="15"/>
      <c r="S44" s="15">
        <f t="shared" si="12"/>
        <v>0</v>
      </c>
      <c r="T44" s="15">
        <f t="shared" si="13"/>
        <v>0</v>
      </c>
      <c r="U44" s="15">
        <f t="shared" si="21"/>
        <v>0</v>
      </c>
      <c r="V44" s="15">
        <f t="shared" si="15"/>
        <v>0</v>
      </c>
      <c r="W44" s="15"/>
      <c r="X44" s="15"/>
      <c r="Y44" s="14"/>
      <c r="Z44" s="14">
        <v>742000</v>
      </c>
      <c r="AF44" s="14"/>
      <c r="AG44" s="14"/>
      <c r="AH44" s="7">
        <f t="shared" si="22"/>
        <v>0</v>
      </c>
    </row>
    <row r="45" spans="1:39" s="16" customFormat="1" x14ac:dyDescent="0.25">
      <c r="A45" s="6">
        <f t="shared" si="11"/>
        <v>40</v>
      </c>
      <c r="B45" s="14">
        <v>1749</v>
      </c>
      <c r="C45" s="14" t="s">
        <v>69</v>
      </c>
      <c r="D45" s="15">
        <v>5000000</v>
      </c>
      <c r="E45" s="15">
        <v>5000000</v>
      </c>
      <c r="F45" s="7">
        <f t="shared" si="0"/>
        <v>0</v>
      </c>
      <c r="G45" s="15">
        <v>500000</v>
      </c>
      <c r="H45" s="15">
        <v>0</v>
      </c>
      <c r="I45" s="15">
        <v>760.5</v>
      </c>
      <c r="J45" s="15"/>
      <c r="K45" s="15">
        <f>SUM(I45:J45)</f>
        <v>760.5</v>
      </c>
      <c r="L45" s="15">
        <f t="shared" si="17"/>
        <v>760.5</v>
      </c>
      <c r="M45" s="15">
        <f t="shared" si="18"/>
        <v>499239.5</v>
      </c>
      <c r="N45" s="15">
        <f>1000000-500000</f>
        <v>500000</v>
      </c>
      <c r="O45" s="15">
        <f t="shared" si="19"/>
        <v>4000000</v>
      </c>
      <c r="P45" s="15">
        <f t="shared" si="20"/>
        <v>499239.5</v>
      </c>
      <c r="Q45" s="15"/>
      <c r="R45" s="15"/>
      <c r="S45" s="15">
        <f>SUM(Q45:R45)</f>
        <v>0</v>
      </c>
      <c r="T45" s="15">
        <f t="shared" si="13"/>
        <v>0</v>
      </c>
      <c r="U45" s="15">
        <f t="shared" si="21"/>
        <v>500000</v>
      </c>
      <c r="V45" s="15">
        <f>U45-Y45-W45-X45</f>
        <v>500000</v>
      </c>
      <c r="W45" s="15"/>
      <c r="X45" s="15"/>
      <c r="Y45" s="14"/>
      <c r="Z45" s="14">
        <v>732000</v>
      </c>
      <c r="AF45" s="14"/>
      <c r="AG45" s="7"/>
      <c r="AH45" s="7">
        <f t="shared" si="22"/>
        <v>500000</v>
      </c>
    </row>
    <row r="46" spans="1:39" s="16" customFormat="1" x14ac:dyDescent="0.25">
      <c r="A46" s="6">
        <f t="shared" si="11"/>
        <v>41</v>
      </c>
      <c r="B46" s="14">
        <v>1750</v>
      </c>
      <c r="C46" s="14" t="s">
        <v>70</v>
      </c>
      <c r="D46" s="15">
        <v>5000000</v>
      </c>
      <c r="E46" s="15">
        <v>5000000</v>
      </c>
      <c r="F46" s="7">
        <f t="shared" si="0"/>
        <v>0</v>
      </c>
      <c r="G46" s="15">
        <v>500000</v>
      </c>
      <c r="H46" s="15">
        <v>0</v>
      </c>
      <c r="I46" s="15"/>
      <c r="J46" s="15"/>
      <c r="K46" s="15">
        <f>SUM(I46:J46)</f>
        <v>0</v>
      </c>
      <c r="L46" s="15">
        <f t="shared" si="17"/>
        <v>0</v>
      </c>
      <c r="M46" s="15">
        <f t="shared" si="18"/>
        <v>500000</v>
      </c>
      <c r="N46" s="15">
        <f>1000000-500000</f>
        <v>500000</v>
      </c>
      <c r="O46" s="15">
        <f t="shared" si="19"/>
        <v>4000000</v>
      </c>
      <c r="P46" s="15">
        <f t="shared" si="20"/>
        <v>500000</v>
      </c>
      <c r="Q46" s="15"/>
      <c r="R46" s="15"/>
      <c r="S46" s="15">
        <f>SUM(Q46:R46)</f>
        <v>0</v>
      </c>
      <c r="T46" s="15">
        <f t="shared" si="13"/>
        <v>0</v>
      </c>
      <c r="U46" s="15">
        <f t="shared" si="21"/>
        <v>500000</v>
      </c>
      <c r="V46" s="15">
        <f>U46-Y46-W46-X46</f>
        <v>500000</v>
      </c>
      <c r="W46" s="15"/>
      <c r="X46" s="15"/>
      <c r="Y46" s="14"/>
      <c r="Z46" s="14">
        <v>732000</v>
      </c>
      <c r="AF46" s="14"/>
      <c r="AG46" s="7"/>
      <c r="AH46" s="7">
        <f t="shared" si="22"/>
        <v>500000</v>
      </c>
    </row>
    <row r="47" spans="1:39" s="8" customFormat="1" x14ac:dyDescent="0.25">
      <c r="A47" s="6">
        <f t="shared" si="11"/>
        <v>42</v>
      </c>
      <c r="B47" s="6">
        <v>1751</v>
      </c>
      <c r="C47" s="14" t="s">
        <v>263</v>
      </c>
      <c r="D47" s="15">
        <v>4800000</v>
      </c>
      <c r="E47" s="7">
        <v>4800000</v>
      </c>
      <c r="F47" s="7">
        <f t="shared" si="0"/>
        <v>0</v>
      </c>
      <c r="G47" s="7">
        <f>350000+50000</f>
        <v>400000</v>
      </c>
      <c r="H47" s="7">
        <v>248805</v>
      </c>
      <c r="I47" s="7">
        <v>50355.21</v>
      </c>
      <c r="J47" s="7"/>
      <c r="K47" s="7">
        <f t="shared" si="16"/>
        <v>50355.21</v>
      </c>
      <c r="L47" s="7">
        <f t="shared" si="17"/>
        <v>299160.21000000002</v>
      </c>
      <c r="M47" s="15">
        <f t="shared" si="18"/>
        <v>2200839.79</v>
      </c>
      <c r="N47" s="15">
        <f>1500000-750000+750000</f>
        <v>1500000</v>
      </c>
      <c r="O47" s="7">
        <f t="shared" si="19"/>
        <v>800000</v>
      </c>
      <c r="P47" s="7">
        <f t="shared" si="20"/>
        <v>100839.78999999998</v>
      </c>
      <c r="Q47" s="197">
        <f>150000-50000</f>
        <v>100000</v>
      </c>
      <c r="R47" s="197">
        <v>2000000</v>
      </c>
      <c r="S47" s="7">
        <f t="shared" si="12"/>
        <v>2100000</v>
      </c>
      <c r="T47" s="15">
        <f t="shared" si="13"/>
        <v>0</v>
      </c>
      <c r="U47" s="15">
        <f t="shared" si="21"/>
        <v>1500000</v>
      </c>
      <c r="V47" s="15">
        <f t="shared" si="15"/>
        <v>1500000</v>
      </c>
      <c r="W47" s="7"/>
      <c r="X47" s="7"/>
      <c r="Y47" s="14"/>
      <c r="Z47" s="6">
        <v>810000</v>
      </c>
      <c r="AF47" s="6"/>
      <c r="AG47" s="7"/>
      <c r="AH47" s="7">
        <f t="shared" si="22"/>
        <v>1500000</v>
      </c>
    </row>
    <row r="48" spans="1:39" s="13" customFormat="1" ht="15.6" x14ac:dyDescent="0.25">
      <c r="A48" s="6">
        <f t="shared" si="11"/>
        <v>43</v>
      </c>
      <c r="B48" s="6">
        <v>1763</v>
      </c>
      <c r="C48" s="14" t="s">
        <v>275</v>
      </c>
      <c r="D48" s="15">
        <f>3000000+1200000</f>
        <v>4200000</v>
      </c>
      <c r="E48" s="7">
        <v>4200000</v>
      </c>
      <c r="F48" s="7">
        <f t="shared" si="0"/>
        <v>0</v>
      </c>
      <c r="G48" s="7">
        <v>2000000</v>
      </c>
      <c r="H48" s="7">
        <v>351641</v>
      </c>
      <c r="I48" s="7">
        <v>1645629.73</v>
      </c>
      <c r="J48" s="7"/>
      <c r="K48" s="7">
        <f t="shared" si="16"/>
        <v>1645629.73</v>
      </c>
      <c r="L48" s="7">
        <f t="shared" si="17"/>
        <v>1997270.73</v>
      </c>
      <c r="M48" s="15">
        <f t="shared" si="18"/>
        <v>2202729.27</v>
      </c>
      <c r="N48" s="15"/>
      <c r="O48" s="7">
        <f t="shared" si="19"/>
        <v>0</v>
      </c>
      <c r="P48" s="7">
        <f t="shared" si="20"/>
        <v>2729.2700000000186</v>
      </c>
      <c r="Q48" s="150">
        <v>500000</v>
      </c>
      <c r="R48" s="15">
        <f>1200000+500000</f>
        <v>1700000</v>
      </c>
      <c r="S48" s="7">
        <f t="shared" si="12"/>
        <v>2200000</v>
      </c>
      <c r="T48" s="15">
        <f t="shared" si="13"/>
        <v>0</v>
      </c>
      <c r="U48" s="15">
        <f t="shared" si="21"/>
        <v>0</v>
      </c>
      <c r="V48" s="15">
        <f t="shared" si="15"/>
        <v>0</v>
      </c>
      <c r="W48" s="7"/>
      <c r="X48" s="7"/>
      <c r="Y48" s="14"/>
      <c r="Z48" s="6">
        <v>742000</v>
      </c>
      <c r="AA48" s="8"/>
      <c r="AB48" s="8"/>
      <c r="AC48" s="8"/>
      <c r="AD48" s="8"/>
      <c r="AE48" s="8"/>
      <c r="AF48" s="6"/>
      <c r="AG48" s="7"/>
      <c r="AH48" s="7">
        <f t="shared" si="22"/>
        <v>0</v>
      </c>
      <c r="AI48" s="8"/>
      <c r="AJ48" s="8"/>
      <c r="AK48" s="8"/>
      <c r="AL48" s="8"/>
      <c r="AM48" s="8"/>
    </row>
    <row r="49" spans="1:39" s="8" customFormat="1" x14ac:dyDescent="0.25">
      <c r="A49" s="6">
        <f t="shared" si="11"/>
        <v>44</v>
      </c>
      <c r="B49" s="6">
        <v>1764</v>
      </c>
      <c r="C49" s="14" t="s">
        <v>262</v>
      </c>
      <c r="D49" s="15">
        <v>4800000</v>
      </c>
      <c r="E49" s="7">
        <v>4800000</v>
      </c>
      <c r="F49" s="7">
        <f t="shared" si="0"/>
        <v>0</v>
      </c>
      <c r="G49" s="7">
        <v>4800000</v>
      </c>
      <c r="H49" s="7">
        <v>3140711</v>
      </c>
      <c r="I49" s="7">
        <v>858140.87</v>
      </c>
      <c r="J49" s="7"/>
      <c r="K49" s="7">
        <f t="shared" si="16"/>
        <v>858140.87</v>
      </c>
      <c r="L49" s="7">
        <f t="shared" si="17"/>
        <v>3998851.87</v>
      </c>
      <c r="M49" s="15">
        <f t="shared" si="18"/>
        <v>801148.12999999989</v>
      </c>
      <c r="N49" s="15"/>
      <c r="O49" s="7">
        <f t="shared" si="19"/>
        <v>0</v>
      </c>
      <c r="P49" s="7">
        <f t="shared" si="20"/>
        <v>801148.12999999989</v>
      </c>
      <c r="Q49" s="7"/>
      <c r="R49" s="15"/>
      <c r="S49" s="7">
        <f t="shared" si="12"/>
        <v>0</v>
      </c>
      <c r="T49" s="15">
        <f t="shared" si="13"/>
        <v>0</v>
      </c>
      <c r="U49" s="15">
        <f t="shared" si="21"/>
        <v>0</v>
      </c>
      <c r="V49" s="15">
        <f t="shared" si="15"/>
        <v>0</v>
      </c>
      <c r="W49" s="7"/>
      <c r="X49" s="7"/>
      <c r="Y49" s="14"/>
      <c r="Z49" s="6">
        <v>742000</v>
      </c>
      <c r="AF49" s="6"/>
      <c r="AG49" s="7"/>
      <c r="AH49" s="7">
        <f t="shared" si="22"/>
        <v>0</v>
      </c>
    </row>
    <row r="50" spans="1:39" s="17" customFormat="1" ht="15.6" x14ac:dyDescent="0.25">
      <c r="A50" s="6">
        <f t="shared" si="11"/>
        <v>45</v>
      </c>
      <c r="B50" s="6">
        <v>1765</v>
      </c>
      <c r="C50" s="14" t="s">
        <v>261</v>
      </c>
      <c r="D50" s="15">
        <v>2800000</v>
      </c>
      <c r="E50" s="7">
        <v>2800000</v>
      </c>
      <c r="F50" s="7">
        <f t="shared" si="0"/>
        <v>0</v>
      </c>
      <c r="G50" s="7">
        <v>2100000</v>
      </c>
      <c r="H50" s="7">
        <v>643136</v>
      </c>
      <c r="I50" s="7">
        <v>256859</v>
      </c>
      <c r="J50" s="7"/>
      <c r="K50" s="7">
        <f t="shared" si="16"/>
        <v>256859</v>
      </c>
      <c r="L50" s="7">
        <f t="shared" si="17"/>
        <v>899995</v>
      </c>
      <c r="M50" s="15">
        <f t="shared" si="18"/>
        <v>1200005</v>
      </c>
      <c r="N50" s="15">
        <v>700000</v>
      </c>
      <c r="O50" s="7">
        <f t="shared" si="19"/>
        <v>0</v>
      </c>
      <c r="P50" s="7">
        <f t="shared" si="20"/>
        <v>1200005</v>
      </c>
      <c r="Q50" s="7"/>
      <c r="R50" s="15"/>
      <c r="S50" s="7">
        <f t="shared" si="12"/>
        <v>0</v>
      </c>
      <c r="T50" s="15">
        <f t="shared" si="13"/>
        <v>0</v>
      </c>
      <c r="U50" s="15">
        <f t="shared" si="21"/>
        <v>700000</v>
      </c>
      <c r="V50" s="15">
        <f t="shared" si="15"/>
        <v>700000</v>
      </c>
      <c r="W50" s="7"/>
      <c r="X50" s="7"/>
      <c r="Y50" s="14"/>
      <c r="Z50" s="6">
        <v>742000</v>
      </c>
      <c r="AA50" s="8"/>
      <c r="AB50" s="8"/>
      <c r="AC50" s="8"/>
      <c r="AD50" s="8"/>
      <c r="AE50" s="8"/>
      <c r="AF50" s="11"/>
      <c r="AG50" s="7"/>
      <c r="AH50" s="7">
        <f t="shared" si="22"/>
        <v>700000</v>
      </c>
      <c r="AI50" s="13"/>
      <c r="AJ50" s="13"/>
      <c r="AK50" s="13"/>
      <c r="AL50" s="13"/>
      <c r="AM50" s="13"/>
    </row>
    <row r="51" spans="1:39" s="17" customFormat="1" ht="27.6" x14ac:dyDescent="0.25">
      <c r="A51" s="6">
        <f t="shared" si="11"/>
        <v>46</v>
      </c>
      <c r="B51" s="6">
        <v>1772</v>
      </c>
      <c r="C51" s="14" t="s">
        <v>465</v>
      </c>
      <c r="D51" s="15">
        <v>3210000</v>
      </c>
      <c r="E51" s="7">
        <v>3210000</v>
      </c>
      <c r="F51" s="7">
        <f t="shared" si="0"/>
        <v>0</v>
      </c>
      <c r="G51" s="7">
        <f>400000+100000</f>
        <v>500000</v>
      </c>
      <c r="H51" s="7">
        <v>347127.84</v>
      </c>
      <c r="I51" s="7">
        <v>23843.81</v>
      </c>
      <c r="J51" s="7"/>
      <c r="K51" s="7">
        <f t="shared" si="16"/>
        <v>23843.81</v>
      </c>
      <c r="L51" s="7">
        <f t="shared" si="17"/>
        <v>370971.65</v>
      </c>
      <c r="M51" s="15">
        <f t="shared" si="18"/>
        <v>1429028.35</v>
      </c>
      <c r="N51" s="15">
        <v>1410000</v>
      </c>
      <c r="O51" s="7">
        <f t="shared" si="19"/>
        <v>0</v>
      </c>
      <c r="P51" s="7">
        <f t="shared" si="20"/>
        <v>129028.34999999998</v>
      </c>
      <c r="Q51" s="152">
        <f>1400000-100000</f>
        <v>1300000</v>
      </c>
      <c r="R51" s="15"/>
      <c r="S51" s="7">
        <f t="shared" si="12"/>
        <v>1300000</v>
      </c>
      <c r="T51" s="15">
        <f t="shared" si="13"/>
        <v>0</v>
      </c>
      <c r="U51" s="15">
        <f t="shared" si="21"/>
        <v>1410000</v>
      </c>
      <c r="V51" s="15">
        <f t="shared" si="15"/>
        <v>269414</v>
      </c>
      <c r="W51" s="7"/>
      <c r="X51" s="7"/>
      <c r="Y51" s="15">
        <v>1140586</v>
      </c>
      <c r="Z51" s="6">
        <v>829000</v>
      </c>
      <c r="AA51" s="8"/>
      <c r="AB51" s="8"/>
      <c r="AC51" s="8"/>
      <c r="AD51" s="8"/>
      <c r="AE51" s="8"/>
      <c r="AF51" s="60"/>
      <c r="AG51" s="7"/>
      <c r="AH51" s="7">
        <f t="shared" si="22"/>
        <v>269414</v>
      </c>
    </row>
    <row r="52" spans="1:39" s="71" customFormat="1" x14ac:dyDescent="0.25">
      <c r="A52" s="6">
        <f t="shared" si="11"/>
        <v>47</v>
      </c>
      <c r="B52" s="14">
        <v>1798</v>
      </c>
      <c r="C52" s="14" t="s">
        <v>280</v>
      </c>
      <c r="D52" s="15">
        <v>1600000</v>
      </c>
      <c r="E52" s="15">
        <v>1600000</v>
      </c>
      <c r="F52" s="7">
        <f t="shared" si="0"/>
        <v>0</v>
      </c>
      <c r="G52" s="15">
        <v>700000</v>
      </c>
      <c r="H52" s="15">
        <v>3557</v>
      </c>
      <c r="I52" s="15">
        <v>95777.37</v>
      </c>
      <c r="J52" s="15">
        <v>48196.1</v>
      </c>
      <c r="K52" s="15">
        <f>SUM(I52:J52)</f>
        <v>143973.47</v>
      </c>
      <c r="L52" s="15">
        <f t="shared" si="17"/>
        <v>147530.47</v>
      </c>
      <c r="M52" s="15">
        <f t="shared" si="18"/>
        <v>552469.53</v>
      </c>
      <c r="N52" s="15">
        <v>900000</v>
      </c>
      <c r="O52" s="15">
        <f t="shared" si="19"/>
        <v>0</v>
      </c>
      <c r="P52" s="15">
        <f t="shared" si="20"/>
        <v>552469.53</v>
      </c>
      <c r="Q52" s="15"/>
      <c r="R52" s="15"/>
      <c r="S52" s="15">
        <f>SUM(Q52:R52)</f>
        <v>0</v>
      </c>
      <c r="T52" s="15">
        <f t="shared" si="13"/>
        <v>0</v>
      </c>
      <c r="U52" s="15">
        <f t="shared" si="21"/>
        <v>900000</v>
      </c>
      <c r="V52" s="15">
        <f>U52-Y52-W52-X52</f>
        <v>900000</v>
      </c>
      <c r="W52" s="15"/>
      <c r="X52" s="15"/>
      <c r="Y52" s="14"/>
      <c r="Z52" s="14">
        <v>829000</v>
      </c>
      <c r="AA52" s="16"/>
      <c r="AB52" s="16"/>
      <c r="AC52" s="16"/>
      <c r="AF52" s="239"/>
      <c r="AG52" s="7"/>
      <c r="AH52" s="7">
        <f t="shared" si="22"/>
        <v>900000</v>
      </c>
    </row>
    <row r="53" spans="1:39" x14ac:dyDescent="0.25">
      <c r="A53" s="6">
        <f t="shared" si="11"/>
        <v>48</v>
      </c>
      <c r="B53" s="6">
        <v>1806</v>
      </c>
      <c r="C53" s="14" t="s">
        <v>340</v>
      </c>
      <c r="D53" s="15">
        <v>500000</v>
      </c>
      <c r="E53" s="7">
        <v>500000</v>
      </c>
      <c r="F53" s="7">
        <f t="shared" si="0"/>
        <v>0</v>
      </c>
      <c r="G53" s="7">
        <v>200000</v>
      </c>
      <c r="H53" s="7">
        <v>55809</v>
      </c>
      <c r="I53" s="7">
        <v>143325</v>
      </c>
      <c r="J53" s="7"/>
      <c r="K53" s="7">
        <f t="shared" si="16"/>
        <v>143325</v>
      </c>
      <c r="L53" s="7">
        <f t="shared" si="17"/>
        <v>199134</v>
      </c>
      <c r="M53" s="15">
        <f t="shared" si="18"/>
        <v>150866</v>
      </c>
      <c r="N53" s="15"/>
      <c r="O53" s="7">
        <f t="shared" si="19"/>
        <v>150000</v>
      </c>
      <c r="P53" s="7">
        <f t="shared" si="20"/>
        <v>866</v>
      </c>
      <c r="Q53" s="197">
        <v>150000</v>
      </c>
      <c r="R53" s="15"/>
      <c r="S53" s="7">
        <f t="shared" si="12"/>
        <v>150000</v>
      </c>
      <c r="T53" s="15">
        <f t="shared" si="13"/>
        <v>0</v>
      </c>
      <c r="U53" s="15">
        <f t="shared" si="21"/>
        <v>0</v>
      </c>
      <c r="V53" s="15">
        <f t="shared" si="15"/>
        <v>0</v>
      </c>
      <c r="W53" s="7"/>
      <c r="X53" s="7"/>
      <c r="Y53" s="14"/>
      <c r="Z53" s="6">
        <v>732000</v>
      </c>
      <c r="AA53" s="8"/>
      <c r="AB53" s="17"/>
      <c r="AC53" s="17"/>
      <c r="AD53" s="17"/>
      <c r="AE53" s="17"/>
      <c r="AF53" s="60"/>
      <c r="AG53" s="7"/>
      <c r="AH53" s="7">
        <f t="shared" si="22"/>
        <v>0</v>
      </c>
      <c r="AI53" s="17"/>
      <c r="AJ53" s="17"/>
      <c r="AK53" s="17"/>
      <c r="AL53" s="17"/>
      <c r="AM53" s="17"/>
    </row>
    <row r="54" spans="1:39" x14ac:dyDescent="0.25">
      <c r="A54" s="6">
        <f t="shared" si="11"/>
        <v>49</v>
      </c>
      <c r="B54" s="6">
        <v>1807</v>
      </c>
      <c r="C54" s="14" t="s">
        <v>288</v>
      </c>
      <c r="D54" s="15">
        <v>2700000</v>
      </c>
      <c r="E54" s="7">
        <v>2700000</v>
      </c>
      <c r="F54" s="7">
        <f t="shared" si="0"/>
        <v>0</v>
      </c>
      <c r="G54" s="7">
        <v>2700000</v>
      </c>
      <c r="H54" s="7">
        <v>1341645</v>
      </c>
      <c r="I54" s="7">
        <v>1250892.97</v>
      </c>
      <c r="J54" s="7"/>
      <c r="K54" s="7">
        <f t="shared" si="16"/>
        <v>1250892.97</v>
      </c>
      <c r="L54" s="7">
        <f t="shared" si="17"/>
        <v>2592537.9699999997</v>
      </c>
      <c r="M54" s="15">
        <f t="shared" si="18"/>
        <v>107462.03000000026</v>
      </c>
      <c r="N54" s="15"/>
      <c r="O54" s="7">
        <f t="shared" si="19"/>
        <v>0</v>
      </c>
      <c r="P54" s="7">
        <f t="shared" si="20"/>
        <v>107462.03000000026</v>
      </c>
      <c r="Q54" s="7"/>
      <c r="R54" s="15"/>
      <c r="S54" s="7">
        <f t="shared" si="12"/>
        <v>0</v>
      </c>
      <c r="T54" s="15">
        <f t="shared" si="13"/>
        <v>0</v>
      </c>
      <c r="U54" s="15">
        <f t="shared" si="21"/>
        <v>0</v>
      </c>
      <c r="V54" s="15">
        <f t="shared" si="15"/>
        <v>0</v>
      </c>
      <c r="W54" s="7"/>
      <c r="X54" s="7"/>
      <c r="Y54" s="14"/>
      <c r="Z54" s="6">
        <v>742000</v>
      </c>
      <c r="AA54" s="8"/>
      <c r="AB54" s="17"/>
      <c r="AC54" s="17"/>
      <c r="AD54" s="17"/>
      <c r="AE54" s="17"/>
      <c r="AF54" s="60"/>
      <c r="AG54" s="7"/>
      <c r="AH54" s="7">
        <f t="shared" si="22"/>
        <v>0</v>
      </c>
      <c r="AI54" s="17"/>
      <c r="AJ54" s="17"/>
      <c r="AK54" s="17"/>
      <c r="AL54" s="17"/>
      <c r="AM54" s="17"/>
    </row>
    <row r="55" spans="1:39" ht="15.6" x14ac:dyDescent="0.25">
      <c r="A55" s="6">
        <f t="shared" si="11"/>
        <v>50</v>
      </c>
      <c r="B55" s="6">
        <v>1808</v>
      </c>
      <c r="C55" s="14" t="s">
        <v>289</v>
      </c>
      <c r="D55" s="15">
        <v>1400000</v>
      </c>
      <c r="E55" s="7">
        <v>1400000</v>
      </c>
      <c r="F55" s="7">
        <f t="shared" si="0"/>
        <v>0</v>
      </c>
      <c r="G55" s="7">
        <v>1200000</v>
      </c>
      <c r="H55" s="7">
        <v>84723</v>
      </c>
      <c r="I55" s="7">
        <v>15275.49</v>
      </c>
      <c r="J55" s="7"/>
      <c r="K55" s="7">
        <f t="shared" si="16"/>
        <v>15275.49</v>
      </c>
      <c r="L55" s="7">
        <f t="shared" si="17"/>
        <v>99998.49</v>
      </c>
      <c r="M55" s="15">
        <f t="shared" si="18"/>
        <v>1300001.51</v>
      </c>
      <c r="N55" s="15"/>
      <c r="O55" s="7">
        <f t="shared" si="19"/>
        <v>0</v>
      </c>
      <c r="P55" s="7">
        <f t="shared" si="20"/>
        <v>1100001.51</v>
      </c>
      <c r="Q55" s="150">
        <v>200000</v>
      </c>
      <c r="R55" s="15"/>
      <c r="S55" s="7">
        <f t="shared" ref="S55:S76" si="23">SUM(Q55:R55)</f>
        <v>200000</v>
      </c>
      <c r="T55" s="15">
        <f t="shared" ref="T55:T76" si="24">P55-M55+S55</f>
        <v>0</v>
      </c>
      <c r="U55" s="15">
        <f t="shared" si="21"/>
        <v>0</v>
      </c>
      <c r="V55" s="15">
        <f>U55-W55-X55-Y55</f>
        <v>0</v>
      </c>
      <c r="W55" s="7"/>
      <c r="X55" s="7"/>
      <c r="Y55" s="14"/>
      <c r="Z55" s="6">
        <v>742000</v>
      </c>
      <c r="AA55" s="13"/>
      <c r="AB55" s="17"/>
      <c r="AC55" s="17"/>
      <c r="AD55" s="17"/>
      <c r="AE55" s="17"/>
      <c r="AF55" s="167"/>
      <c r="AG55" s="7"/>
      <c r="AH55" s="7">
        <f t="shared" si="22"/>
        <v>0</v>
      </c>
    </row>
    <row r="56" spans="1:39" ht="15.6" x14ac:dyDescent="0.25">
      <c r="A56" s="6">
        <f t="shared" si="11"/>
        <v>51</v>
      </c>
      <c r="B56" s="60">
        <v>1809</v>
      </c>
      <c r="C56" s="14" t="s">
        <v>290</v>
      </c>
      <c r="D56" s="15">
        <v>680000</v>
      </c>
      <c r="E56" s="7">
        <v>680000</v>
      </c>
      <c r="F56" s="7">
        <f t="shared" si="0"/>
        <v>0</v>
      </c>
      <c r="G56" s="7">
        <v>680000</v>
      </c>
      <c r="H56" s="7">
        <v>69535</v>
      </c>
      <c r="I56" s="7">
        <v>600.29999999999995</v>
      </c>
      <c r="J56" s="7"/>
      <c r="K56" s="7">
        <f t="shared" si="16"/>
        <v>600.29999999999995</v>
      </c>
      <c r="L56" s="7">
        <f t="shared" si="17"/>
        <v>70135.3</v>
      </c>
      <c r="M56" s="15">
        <f t="shared" si="18"/>
        <v>609864.69999999995</v>
      </c>
      <c r="N56" s="15"/>
      <c r="O56" s="7">
        <f t="shared" si="19"/>
        <v>0</v>
      </c>
      <c r="P56" s="7">
        <f t="shared" si="20"/>
        <v>609864.69999999995</v>
      </c>
      <c r="Q56" s="7"/>
      <c r="R56" s="15"/>
      <c r="S56" s="7">
        <f t="shared" si="23"/>
        <v>0</v>
      </c>
      <c r="T56" s="15">
        <f t="shared" si="24"/>
        <v>0</v>
      </c>
      <c r="U56" s="15">
        <f t="shared" si="21"/>
        <v>0</v>
      </c>
      <c r="V56" s="15">
        <f>U56-W56-X56-Y56</f>
        <v>0</v>
      </c>
      <c r="W56" s="7"/>
      <c r="X56" s="7"/>
      <c r="Y56" s="14"/>
      <c r="Z56" s="6">
        <v>742000</v>
      </c>
      <c r="AA56" s="13"/>
      <c r="AB56" s="17"/>
      <c r="AC56" s="17"/>
      <c r="AD56" s="17"/>
      <c r="AE56" s="17"/>
      <c r="AF56" s="167"/>
      <c r="AG56" s="7"/>
      <c r="AH56" s="7">
        <f t="shared" si="22"/>
        <v>0</v>
      </c>
    </row>
    <row r="57" spans="1:39" ht="15.6" x14ac:dyDescent="0.25">
      <c r="A57" s="6">
        <f t="shared" si="11"/>
        <v>52</v>
      </c>
      <c r="B57" s="61">
        <v>1819</v>
      </c>
      <c r="C57" s="14" t="s">
        <v>287</v>
      </c>
      <c r="D57" s="15">
        <v>18000000</v>
      </c>
      <c r="E57" s="7">
        <v>18000000</v>
      </c>
      <c r="F57" s="7">
        <f t="shared" si="0"/>
        <v>0</v>
      </c>
      <c r="G57" s="7">
        <v>200000</v>
      </c>
      <c r="H57" s="7">
        <v>44271.1</v>
      </c>
      <c r="I57" s="7">
        <v>149629.1</v>
      </c>
      <c r="J57" s="7"/>
      <c r="K57" s="7">
        <f t="shared" si="16"/>
        <v>149629.1</v>
      </c>
      <c r="L57" s="7">
        <f t="shared" si="17"/>
        <v>193900.2</v>
      </c>
      <c r="M57" s="15">
        <f t="shared" si="18"/>
        <v>6099.7999999999884</v>
      </c>
      <c r="N57" s="15">
        <f>17800000-7800000-5000000-3000000</f>
        <v>2000000</v>
      </c>
      <c r="O57" s="7">
        <f t="shared" si="19"/>
        <v>15800000</v>
      </c>
      <c r="P57" s="7">
        <f t="shared" si="20"/>
        <v>6099.7999999999884</v>
      </c>
      <c r="Q57" s="7"/>
      <c r="R57" s="15"/>
      <c r="S57" s="7">
        <f t="shared" si="23"/>
        <v>0</v>
      </c>
      <c r="T57" s="15">
        <f t="shared" si="24"/>
        <v>0</v>
      </c>
      <c r="U57" s="15">
        <f t="shared" si="21"/>
        <v>2000000</v>
      </c>
      <c r="V57" s="15">
        <f>U57-W57-X57-Y57</f>
        <v>2000000</v>
      </c>
      <c r="W57" s="7"/>
      <c r="X57" s="7"/>
      <c r="Y57" s="14"/>
      <c r="Z57" s="6">
        <v>742000</v>
      </c>
      <c r="AA57" s="13"/>
      <c r="AB57" s="17"/>
      <c r="AC57" s="17"/>
      <c r="AD57" s="17"/>
      <c r="AE57" s="17"/>
      <c r="AF57" s="167"/>
      <c r="AG57" s="7"/>
      <c r="AH57" s="232">
        <f t="shared" si="22"/>
        <v>2000000</v>
      </c>
    </row>
    <row r="58" spans="1:39" s="16" customFormat="1" x14ac:dyDescent="0.25">
      <c r="A58" s="6">
        <f t="shared" si="11"/>
        <v>53</v>
      </c>
      <c r="B58" s="14">
        <v>1825</v>
      </c>
      <c r="C58" s="69" t="s">
        <v>502</v>
      </c>
      <c r="D58" s="15">
        <f>23500000+11500000</f>
        <v>35000000</v>
      </c>
      <c r="E58" s="15">
        <v>23500000</v>
      </c>
      <c r="F58" s="7">
        <f t="shared" si="0"/>
        <v>11500000</v>
      </c>
      <c r="G58" s="15">
        <v>700000</v>
      </c>
      <c r="H58" s="15">
        <v>0</v>
      </c>
      <c r="I58" s="15">
        <v>30818.74</v>
      </c>
      <c r="J58" s="15"/>
      <c r="K58" s="15">
        <f>SUM(I58:J58)</f>
        <v>30818.74</v>
      </c>
      <c r="L58" s="15">
        <f t="shared" si="17"/>
        <v>30818.74</v>
      </c>
      <c r="M58" s="15">
        <f t="shared" si="18"/>
        <v>669181.26</v>
      </c>
      <c r="N58" s="15">
        <f>23000000-3000000-2000000-3000000-1000000</f>
        <v>14000000</v>
      </c>
      <c r="O58" s="15">
        <f t="shared" si="19"/>
        <v>20300000</v>
      </c>
      <c r="P58" s="15">
        <f t="shared" si="20"/>
        <v>669181.26</v>
      </c>
      <c r="Q58" s="15"/>
      <c r="R58" s="15"/>
      <c r="S58" s="15">
        <f>SUM(Q58:R58)</f>
        <v>0</v>
      </c>
      <c r="T58" s="15">
        <f t="shared" si="24"/>
        <v>0</v>
      </c>
      <c r="U58" s="15">
        <f t="shared" si="21"/>
        <v>14000000</v>
      </c>
      <c r="V58" s="15">
        <f>U58-Y58-W58-X58</f>
        <v>1537850.299999997</v>
      </c>
      <c r="W58" s="15"/>
      <c r="X58" s="15"/>
      <c r="Y58" s="15">
        <v>12462149.700000003</v>
      </c>
      <c r="Z58" s="14">
        <v>810000</v>
      </c>
      <c r="AF58" s="14"/>
      <c r="AG58" s="7"/>
      <c r="AH58" s="232">
        <f t="shared" si="22"/>
        <v>1537850.299999997</v>
      </c>
    </row>
    <row r="59" spans="1:39" ht="15.6" x14ac:dyDescent="0.25">
      <c r="A59" s="6">
        <f t="shared" si="11"/>
        <v>54</v>
      </c>
      <c r="B59" s="377">
        <v>1833</v>
      </c>
      <c r="C59" s="14" t="s">
        <v>834</v>
      </c>
      <c r="D59" s="15">
        <v>20000000</v>
      </c>
      <c r="E59" s="7">
        <v>20000000</v>
      </c>
      <c r="F59" s="7">
        <f t="shared" si="0"/>
        <v>0</v>
      </c>
      <c r="G59" s="7">
        <v>0</v>
      </c>
      <c r="H59" s="7">
        <v>0</v>
      </c>
      <c r="I59" s="7"/>
      <c r="J59" s="7"/>
      <c r="K59" s="7">
        <f t="shared" si="16"/>
        <v>0</v>
      </c>
      <c r="L59" s="7">
        <f t="shared" si="17"/>
        <v>0</v>
      </c>
      <c r="M59" s="15">
        <f t="shared" si="18"/>
        <v>0</v>
      </c>
      <c r="N59" s="15">
        <f>2000000-1000000+19000000</f>
        <v>20000000</v>
      </c>
      <c r="O59" s="7">
        <f t="shared" si="19"/>
        <v>0</v>
      </c>
      <c r="P59" s="7">
        <f t="shared" si="20"/>
        <v>0</v>
      </c>
      <c r="Q59" s="7"/>
      <c r="R59" s="15"/>
      <c r="S59" s="7">
        <f t="shared" si="23"/>
        <v>0</v>
      </c>
      <c r="T59" s="15">
        <f t="shared" si="24"/>
        <v>0</v>
      </c>
      <c r="U59" s="15">
        <f t="shared" si="21"/>
        <v>20000000</v>
      </c>
      <c r="V59" s="15">
        <f>U59-W59-X59-Y59</f>
        <v>1000000</v>
      </c>
      <c r="W59" s="7"/>
      <c r="X59" s="7"/>
      <c r="Y59" s="15">
        <v>19000000</v>
      </c>
      <c r="Z59" s="6">
        <v>829000</v>
      </c>
      <c r="AA59" s="13"/>
      <c r="AB59" s="17"/>
      <c r="AC59" s="17"/>
      <c r="AD59" s="17"/>
      <c r="AE59" s="17"/>
      <c r="AF59" s="167"/>
      <c r="AG59" s="7"/>
      <c r="AH59" s="232">
        <f t="shared" si="22"/>
        <v>1000000</v>
      </c>
    </row>
    <row r="60" spans="1:39" s="16" customFormat="1" x14ac:dyDescent="0.25">
      <c r="A60" s="6">
        <f t="shared" si="11"/>
        <v>55</v>
      </c>
      <c r="B60" s="14">
        <v>1834</v>
      </c>
      <c r="C60" s="69" t="s">
        <v>307</v>
      </c>
      <c r="D60" s="15">
        <v>40000000</v>
      </c>
      <c r="E60" s="15">
        <v>40000000</v>
      </c>
      <c r="F60" s="7">
        <f t="shared" si="0"/>
        <v>0</v>
      </c>
      <c r="G60" s="15">
        <v>100000</v>
      </c>
      <c r="H60" s="15">
        <v>0</v>
      </c>
      <c r="I60" s="15">
        <v>31590</v>
      </c>
      <c r="J60" s="15"/>
      <c r="K60" s="15">
        <f>SUM(I60:J60)</f>
        <v>31590</v>
      </c>
      <c r="L60" s="15">
        <f t="shared" si="17"/>
        <v>31590</v>
      </c>
      <c r="M60" s="15">
        <f t="shared" si="18"/>
        <v>68410</v>
      </c>
      <c r="N60" s="15">
        <f>3000000-1000000</f>
        <v>2000000</v>
      </c>
      <c r="O60" s="15">
        <f t="shared" si="19"/>
        <v>37900000</v>
      </c>
      <c r="P60" s="15">
        <f t="shared" si="20"/>
        <v>68410</v>
      </c>
      <c r="Q60" s="15"/>
      <c r="R60" s="15"/>
      <c r="S60" s="15">
        <f>SUM(Q60:R60)</f>
        <v>0</v>
      </c>
      <c r="T60" s="15">
        <f t="shared" si="24"/>
        <v>0</v>
      </c>
      <c r="U60" s="15">
        <f t="shared" si="21"/>
        <v>2000000</v>
      </c>
      <c r="V60" s="15">
        <f>U60-Y60-W60-X60</f>
        <v>2000000</v>
      </c>
      <c r="W60" s="15"/>
      <c r="X60" s="15"/>
      <c r="Y60" s="14"/>
      <c r="Z60" s="14">
        <v>824000</v>
      </c>
      <c r="AF60" s="14"/>
      <c r="AG60" s="7"/>
      <c r="AH60" s="232">
        <f t="shared" si="22"/>
        <v>2000000</v>
      </c>
    </row>
    <row r="61" spans="1:39" s="16" customFormat="1" x14ac:dyDescent="0.25">
      <c r="A61" s="6">
        <f t="shared" si="11"/>
        <v>56</v>
      </c>
      <c r="B61" s="14">
        <v>1835</v>
      </c>
      <c r="C61" s="69" t="s">
        <v>308</v>
      </c>
      <c r="D61" s="15">
        <v>30000000</v>
      </c>
      <c r="E61" s="15">
        <v>30000000</v>
      </c>
      <c r="F61" s="7">
        <f t="shared" si="0"/>
        <v>0</v>
      </c>
      <c r="G61" s="15">
        <v>400000</v>
      </c>
      <c r="H61" s="15">
        <v>43143</v>
      </c>
      <c r="I61" s="15">
        <v>59870</v>
      </c>
      <c r="J61" s="15"/>
      <c r="K61" s="15">
        <f>SUM(I61:J61)</f>
        <v>59870</v>
      </c>
      <c r="L61" s="15">
        <f t="shared" si="17"/>
        <v>103013</v>
      </c>
      <c r="M61" s="15">
        <f t="shared" si="18"/>
        <v>296987</v>
      </c>
      <c r="N61" s="15">
        <f>10000000-5000000-1000000-1000000</f>
        <v>3000000</v>
      </c>
      <c r="O61" s="15">
        <f t="shared" si="19"/>
        <v>26600000</v>
      </c>
      <c r="P61" s="15">
        <f t="shared" si="20"/>
        <v>296987</v>
      </c>
      <c r="Q61" s="15"/>
      <c r="R61" s="15"/>
      <c r="S61" s="15">
        <f>SUM(Q61:R61)</f>
        <v>0</v>
      </c>
      <c r="T61" s="15">
        <f t="shared" si="24"/>
        <v>0</v>
      </c>
      <c r="U61" s="15">
        <f t="shared" si="21"/>
        <v>3000000</v>
      </c>
      <c r="V61" s="15">
        <f>U61-Y61-W61-X61</f>
        <v>3000000</v>
      </c>
      <c r="W61" s="15"/>
      <c r="X61" s="15"/>
      <c r="Y61" s="14"/>
      <c r="Z61" s="14">
        <v>824000</v>
      </c>
      <c r="AF61" s="14"/>
      <c r="AG61" s="7"/>
      <c r="AH61" s="232">
        <f t="shared" si="22"/>
        <v>3000000</v>
      </c>
    </row>
    <row r="62" spans="1:39" s="16" customFormat="1" x14ac:dyDescent="0.25">
      <c r="A62" s="6">
        <f t="shared" si="11"/>
        <v>57</v>
      </c>
      <c r="B62" s="14">
        <v>1836</v>
      </c>
      <c r="C62" s="69" t="s">
        <v>309</v>
      </c>
      <c r="D62" s="15">
        <v>500000</v>
      </c>
      <c r="E62" s="15">
        <v>500000</v>
      </c>
      <c r="F62" s="7">
        <f t="shared" si="0"/>
        <v>0</v>
      </c>
      <c r="G62" s="15">
        <v>0</v>
      </c>
      <c r="H62" s="15">
        <v>0</v>
      </c>
      <c r="I62" s="15"/>
      <c r="J62" s="15"/>
      <c r="K62" s="15">
        <f>SUM(I62:J62)</f>
        <v>0</v>
      </c>
      <c r="L62" s="15">
        <f t="shared" si="17"/>
        <v>0</v>
      </c>
      <c r="M62" s="15">
        <f t="shared" si="18"/>
        <v>500000</v>
      </c>
      <c r="N62" s="15"/>
      <c r="O62" s="15">
        <f t="shared" si="19"/>
        <v>0</v>
      </c>
      <c r="P62" s="15">
        <f t="shared" si="20"/>
        <v>0</v>
      </c>
      <c r="Q62" s="15">
        <v>500000</v>
      </c>
      <c r="R62" s="15"/>
      <c r="S62" s="15">
        <f>SUM(Q62:R62)</f>
        <v>500000</v>
      </c>
      <c r="T62" s="15">
        <f t="shared" si="24"/>
        <v>0</v>
      </c>
      <c r="U62" s="15">
        <f t="shared" si="21"/>
        <v>0</v>
      </c>
      <c r="V62" s="15">
        <f>U62-Y62-W62-X62</f>
        <v>0</v>
      </c>
      <c r="W62" s="15"/>
      <c r="X62" s="15"/>
      <c r="Y62" s="14"/>
      <c r="Z62" s="14">
        <v>930000</v>
      </c>
      <c r="AF62" s="14"/>
      <c r="AG62" s="7"/>
      <c r="AH62" s="7">
        <f t="shared" si="22"/>
        <v>0</v>
      </c>
    </row>
    <row r="63" spans="1:39" ht="15.6" x14ac:dyDescent="0.25">
      <c r="A63" s="6">
        <f t="shared" si="11"/>
        <v>58</v>
      </c>
      <c r="B63" s="61">
        <v>1837</v>
      </c>
      <c r="C63" s="14" t="s">
        <v>329</v>
      </c>
      <c r="D63" s="15">
        <v>3000000</v>
      </c>
      <c r="E63" s="7">
        <v>3000000</v>
      </c>
      <c r="F63" s="7">
        <f t="shared" si="0"/>
        <v>0</v>
      </c>
      <c r="G63" s="7">
        <v>0</v>
      </c>
      <c r="H63" s="7">
        <v>0</v>
      </c>
      <c r="I63" s="7"/>
      <c r="J63" s="7"/>
      <c r="K63" s="7">
        <f t="shared" si="16"/>
        <v>0</v>
      </c>
      <c r="L63" s="7">
        <f t="shared" si="17"/>
        <v>0</v>
      </c>
      <c r="M63" s="15">
        <f t="shared" si="18"/>
        <v>0</v>
      </c>
      <c r="N63" s="15">
        <f>3000000-1000000</f>
        <v>2000000</v>
      </c>
      <c r="O63" s="7">
        <f t="shared" si="19"/>
        <v>1000000</v>
      </c>
      <c r="P63" s="7">
        <f t="shared" si="20"/>
        <v>0</v>
      </c>
      <c r="Q63" s="7"/>
      <c r="R63" s="15"/>
      <c r="S63" s="7">
        <f t="shared" si="23"/>
        <v>0</v>
      </c>
      <c r="T63" s="15">
        <f t="shared" si="24"/>
        <v>0</v>
      </c>
      <c r="U63" s="15">
        <f t="shared" si="21"/>
        <v>2000000</v>
      </c>
      <c r="V63" s="15">
        <f t="shared" ref="V63:V70" si="25">U63-W63-X63-Y63</f>
        <v>2000000</v>
      </c>
      <c r="W63" s="7"/>
      <c r="X63" s="7"/>
      <c r="Y63" s="14"/>
      <c r="Z63" s="6">
        <v>850000</v>
      </c>
      <c r="AA63" s="13"/>
      <c r="AB63" s="17"/>
      <c r="AC63" s="17"/>
      <c r="AD63" s="17"/>
      <c r="AE63" s="17"/>
      <c r="AF63" s="167"/>
      <c r="AG63" s="7"/>
      <c r="AH63" s="232">
        <f t="shared" si="22"/>
        <v>2000000</v>
      </c>
    </row>
    <row r="64" spans="1:39" ht="15.6" x14ac:dyDescent="0.25">
      <c r="A64" s="6">
        <f t="shared" si="11"/>
        <v>59</v>
      </c>
      <c r="B64" s="61">
        <v>1845</v>
      </c>
      <c r="C64" s="14" t="s">
        <v>330</v>
      </c>
      <c r="D64" s="15">
        <v>1500000</v>
      </c>
      <c r="E64" s="7">
        <v>1500000</v>
      </c>
      <c r="F64" s="7">
        <f t="shared" ref="F64:F77" si="26">D64-E64</f>
        <v>0</v>
      </c>
      <c r="G64" s="7">
        <v>0</v>
      </c>
      <c r="H64" s="7">
        <v>0</v>
      </c>
      <c r="I64" s="7"/>
      <c r="J64" s="7"/>
      <c r="K64" s="7">
        <f t="shared" si="16"/>
        <v>0</v>
      </c>
      <c r="L64" s="7">
        <f t="shared" si="17"/>
        <v>0</v>
      </c>
      <c r="M64" s="15">
        <f t="shared" si="18"/>
        <v>200000</v>
      </c>
      <c r="N64" s="15">
        <v>200000</v>
      </c>
      <c r="O64" s="7">
        <f t="shared" si="19"/>
        <v>1100000</v>
      </c>
      <c r="P64" s="7">
        <f t="shared" si="20"/>
        <v>0</v>
      </c>
      <c r="Q64" s="197">
        <v>200000</v>
      </c>
      <c r="R64" s="15"/>
      <c r="S64" s="7">
        <f t="shared" si="23"/>
        <v>200000</v>
      </c>
      <c r="T64" s="15">
        <f t="shared" si="24"/>
        <v>0</v>
      </c>
      <c r="U64" s="15">
        <f t="shared" ref="U64:U77" si="27">N64-T64</f>
        <v>200000</v>
      </c>
      <c r="V64" s="15">
        <f t="shared" si="25"/>
        <v>200000</v>
      </c>
      <c r="W64" s="7"/>
      <c r="X64" s="7"/>
      <c r="Y64" s="14"/>
      <c r="Z64" s="6">
        <v>742000</v>
      </c>
      <c r="AA64" s="13"/>
      <c r="AB64" s="17"/>
      <c r="AC64" s="17"/>
      <c r="AD64" s="17"/>
      <c r="AE64" s="17"/>
      <c r="AF64" s="167"/>
      <c r="AG64" s="7"/>
      <c r="AH64" s="7">
        <f t="shared" si="22"/>
        <v>200000</v>
      </c>
    </row>
    <row r="65" spans="1:37" ht="15.6" x14ac:dyDescent="0.25">
      <c r="A65" s="6">
        <f t="shared" si="11"/>
        <v>60</v>
      </c>
      <c r="B65" s="61">
        <v>1846</v>
      </c>
      <c r="C65" s="14" t="s">
        <v>331</v>
      </c>
      <c r="D65" s="15">
        <v>2500000</v>
      </c>
      <c r="E65" s="7">
        <v>2500000</v>
      </c>
      <c r="F65" s="7">
        <f t="shared" si="26"/>
        <v>0</v>
      </c>
      <c r="G65" s="7">
        <v>500000</v>
      </c>
      <c r="H65" s="7">
        <v>15502</v>
      </c>
      <c r="I65" s="7">
        <v>484497</v>
      </c>
      <c r="J65" s="7"/>
      <c r="K65" s="7">
        <f t="shared" si="16"/>
        <v>484497</v>
      </c>
      <c r="L65" s="7">
        <f t="shared" si="17"/>
        <v>499999</v>
      </c>
      <c r="M65" s="15">
        <f t="shared" si="18"/>
        <v>2000001</v>
      </c>
      <c r="N65" s="15"/>
      <c r="O65" s="7">
        <f t="shared" si="19"/>
        <v>0</v>
      </c>
      <c r="P65" s="7">
        <f t="shared" si="20"/>
        <v>1</v>
      </c>
      <c r="Q65" s="7"/>
      <c r="R65" s="197">
        <v>2000000</v>
      </c>
      <c r="S65" s="7">
        <f t="shared" si="23"/>
        <v>2000000</v>
      </c>
      <c r="T65" s="15">
        <f t="shared" si="24"/>
        <v>0</v>
      </c>
      <c r="U65" s="15">
        <f t="shared" si="27"/>
        <v>0</v>
      </c>
      <c r="V65" s="15">
        <f t="shared" si="25"/>
        <v>0</v>
      </c>
      <c r="W65" s="7"/>
      <c r="X65" s="7"/>
      <c r="Y65" s="14"/>
      <c r="Z65" s="6">
        <v>732000</v>
      </c>
      <c r="AA65" s="13"/>
      <c r="AB65" s="17"/>
      <c r="AC65" s="17"/>
      <c r="AD65" s="17"/>
      <c r="AE65" s="17"/>
      <c r="AF65" s="167"/>
      <c r="AG65" s="167"/>
      <c r="AH65" s="7">
        <f t="shared" si="22"/>
        <v>0</v>
      </c>
    </row>
    <row r="66" spans="1:37" ht="15.6" x14ac:dyDescent="0.25">
      <c r="A66" s="6">
        <f t="shared" si="11"/>
        <v>61</v>
      </c>
      <c r="B66" s="61">
        <v>1847</v>
      </c>
      <c r="C66" s="14" t="s">
        <v>747</v>
      </c>
      <c r="D66" s="15">
        <f>7200000+140000</f>
        <v>7340000</v>
      </c>
      <c r="E66" s="7">
        <f>7200000+140000</f>
        <v>7340000</v>
      </c>
      <c r="F66" s="7">
        <f t="shared" si="26"/>
        <v>0</v>
      </c>
      <c r="G66" s="7">
        <f>2600000+1000000</f>
        <v>3600000</v>
      </c>
      <c r="H66" s="7">
        <v>2500752</v>
      </c>
      <c r="I66" s="7">
        <v>1097352</v>
      </c>
      <c r="J66" s="7"/>
      <c r="K66" s="7">
        <f t="shared" si="16"/>
        <v>1097352</v>
      </c>
      <c r="L66" s="7">
        <f t="shared" si="17"/>
        <v>3598104</v>
      </c>
      <c r="M66" s="15">
        <f t="shared" si="18"/>
        <v>3741896</v>
      </c>
      <c r="N66" s="15"/>
      <c r="O66" s="7">
        <f t="shared" si="19"/>
        <v>0</v>
      </c>
      <c r="P66" s="7">
        <f t="shared" si="20"/>
        <v>1896</v>
      </c>
      <c r="Q66" s="7">
        <f>1000000-1000000</f>
        <v>0</v>
      </c>
      <c r="R66" s="152">
        <v>3740000</v>
      </c>
      <c r="S66" s="7">
        <f t="shared" si="23"/>
        <v>3740000</v>
      </c>
      <c r="T66" s="15">
        <f t="shared" si="24"/>
        <v>0</v>
      </c>
      <c r="U66" s="15">
        <f t="shared" si="27"/>
        <v>0</v>
      </c>
      <c r="V66" s="15">
        <f t="shared" si="25"/>
        <v>0</v>
      </c>
      <c r="W66" s="7"/>
      <c r="X66" s="7"/>
      <c r="Y66" s="14"/>
      <c r="Z66" s="6">
        <v>810000</v>
      </c>
      <c r="AA66" s="13"/>
      <c r="AB66" s="17"/>
      <c r="AC66" s="17"/>
      <c r="AD66" s="17"/>
      <c r="AE66" s="17"/>
      <c r="AF66" s="167"/>
      <c r="AG66" s="167"/>
      <c r="AH66" s="7">
        <f t="shared" si="22"/>
        <v>0</v>
      </c>
    </row>
    <row r="67" spans="1:37" s="8" customFormat="1" x14ac:dyDescent="0.25">
      <c r="A67" s="6">
        <f t="shared" si="11"/>
        <v>62</v>
      </c>
      <c r="B67" s="6">
        <v>1854</v>
      </c>
      <c r="C67" s="14" t="s">
        <v>430</v>
      </c>
      <c r="D67" s="15">
        <v>5600000</v>
      </c>
      <c r="E67" s="7">
        <v>8000000</v>
      </c>
      <c r="F67" s="7">
        <f t="shared" si="26"/>
        <v>-2400000</v>
      </c>
      <c r="G67" s="7">
        <v>200000</v>
      </c>
      <c r="H67" s="7">
        <v>10033</v>
      </c>
      <c r="I67" s="7">
        <v>189922</v>
      </c>
      <c r="J67" s="7"/>
      <c r="K67" s="7">
        <f>SUM(I67:J67)</f>
        <v>189922</v>
      </c>
      <c r="L67" s="7">
        <f t="shared" si="17"/>
        <v>199955</v>
      </c>
      <c r="M67" s="15">
        <f t="shared" si="18"/>
        <v>2401165</v>
      </c>
      <c r="N67" s="15">
        <v>2998880</v>
      </c>
      <c r="O67" s="7">
        <f t="shared" si="19"/>
        <v>0</v>
      </c>
      <c r="P67" s="7">
        <f t="shared" si="20"/>
        <v>45</v>
      </c>
      <c r="Q67" s="197">
        <v>2401120</v>
      </c>
      <c r="R67" s="7"/>
      <c r="S67" s="7">
        <f t="shared" si="23"/>
        <v>2401120</v>
      </c>
      <c r="T67" s="15">
        <f t="shared" si="24"/>
        <v>0</v>
      </c>
      <c r="U67" s="15">
        <f t="shared" si="27"/>
        <v>2998880</v>
      </c>
      <c r="V67" s="15">
        <f t="shared" si="25"/>
        <v>2998880</v>
      </c>
      <c r="W67" s="7"/>
      <c r="X67" s="7"/>
      <c r="Y67" s="15"/>
      <c r="Z67" s="168">
        <v>810000</v>
      </c>
      <c r="AA67" s="54"/>
      <c r="AF67" s="6"/>
      <c r="AG67" s="6"/>
      <c r="AH67" s="7">
        <f t="shared" si="22"/>
        <v>2998880</v>
      </c>
    </row>
    <row r="68" spans="1:37" ht="15.6" x14ac:dyDescent="0.25">
      <c r="A68" s="6">
        <f t="shared" si="11"/>
        <v>63</v>
      </c>
      <c r="B68" s="61">
        <v>1894</v>
      </c>
      <c r="C68" s="14" t="s">
        <v>748</v>
      </c>
      <c r="D68" s="15">
        <f>3600000+3500000</f>
        <v>7100000</v>
      </c>
      <c r="E68" s="7">
        <v>7100000</v>
      </c>
      <c r="F68" s="7">
        <f t="shared" si="26"/>
        <v>0</v>
      </c>
      <c r="G68" s="7">
        <v>700000</v>
      </c>
      <c r="H68" s="7">
        <v>63175</v>
      </c>
      <c r="I68" s="7">
        <v>636601.21</v>
      </c>
      <c r="J68" s="7"/>
      <c r="K68" s="7">
        <f t="shared" si="16"/>
        <v>636601.21</v>
      </c>
      <c r="L68" s="7">
        <f t="shared" si="17"/>
        <v>699776.21</v>
      </c>
      <c r="M68" s="15">
        <f t="shared" si="18"/>
        <v>6400223.79</v>
      </c>
      <c r="N68" s="15"/>
      <c r="O68" s="7">
        <f t="shared" si="19"/>
        <v>0</v>
      </c>
      <c r="P68" s="7">
        <f t="shared" si="20"/>
        <v>223.79000000003725</v>
      </c>
      <c r="Q68" s="7"/>
      <c r="R68" s="197">
        <f>2900000+3500000</f>
        <v>6400000</v>
      </c>
      <c r="S68" s="7">
        <f t="shared" si="23"/>
        <v>6400000</v>
      </c>
      <c r="T68" s="15">
        <f t="shared" si="24"/>
        <v>0</v>
      </c>
      <c r="U68" s="15">
        <f t="shared" si="27"/>
        <v>0</v>
      </c>
      <c r="V68" s="15">
        <f t="shared" si="25"/>
        <v>0</v>
      </c>
      <c r="W68" s="7"/>
      <c r="X68" s="7"/>
      <c r="Y68" s="14"/>
      <c r="Z68" s="6">
        <v>810000</v>
      </c>
      <c r="AA68" s="13"/>
      <c r="AB68" s="17"/>
      <c r="AC68" s="17"/>
      <c r="AD68" s="17"/>
      <c r="AE68" s="17"/>
      <c r="AF68" s="167"/>
      <c r="AG68" s="167"/>
      <c r="AH68" s="7">
        <f t="shared" si="22"/>
        <v>0</v>
      </c>
    </row>
    <row r="69" spans="1:37" ht="15.6" x14ac:dyDescent="0.25">
      <c r="A69" s="6">
        <f t="shared" si="11"/>
        <v>64</v>
      </c>
      <c r="B69" s="61">
        <v>1896</v>
      </c>
      <c r="C69" s="14" t="s">
        <v>361</v>
      </c>
      <c r="D69" s="15">
        <v>18560000</v>
      </c>
      <c r="E69" s="7">
        <v>18560000</v>
      </c>
      <c r="F69" s="7">
        <f t="shared" si="26"/>
        <v>0</v>
      </c>
      <c r="G69" s="7">
        <v>0</v>
      </c>
      <c r="H69" s="7">
        <v>0</v>
      </c>
      <c r="I69" s="7"/>
      <c r="J69" s="7"/>
      <c r="K69" s="7">
        <f t="shared" si="16"/>
        <v>0</v>
      </c>
      <c r="L69" s="7">
        <f t="shared" si="17"/>
        <v>0</v>
      </c>
      <c r="M69" s="15">
        <f t="shared" si="18"/>
        <v>0</v>
      </c>
      <c r="N69" s="15">
        <f>4000000-2000000-1000000</f>
        <v>1000000</v>
      </c>
      <c r="O69" s="7">
        <f t="shared" si="19"/>
        <v>17560000</v>
      </c>
      <c r="P69" s="7">
        <f t="shared" si="20"/>
        <v>0</v>
      </c>
      <c r="Q69" s="7"/>
      <c r="R69" s="15"/>
      <c r="S69" s="7">
        <f t="shared" si="23"/>
        <v>0</v>
      </c>
      <c r="T69" s="15">
        <f t="shared" si="24"/>
        <v>0</v>
      </c>
      <c r="U69" s="15">
        <f t="shared" si="27"/>
        <v>1000000</v>
      </c>
      <c r="V69" s="15">
        <f t="shared" si="25"/>
        <v>1000000</v>
      </c>
      <c r="W69" s="7"/>
      <c r="X69" s="7"/>
      <c r="Y69" s="14"/>
      <c r="Z69" s="6">
        <v>829000</v>
      </c>
      <c r="AA69" s="13"/>
      <c r="AB69" s="17"/>
      <c r="AC69" s="17"/>
      <c r="AD69" s="17"/>
      <c r="AE69" s="17"/>
      <c r="AF69" s="167"/>
      <c r="AG69" s="7"/>
      <c r="AH69" s="7">
        <f t="shared" si="22"/>
        <v>1000000</v>
      </c>
    </row>
    <row r="70" spans="1:37" ht="15.6" x14ac:dyDescent="0.25">
      <c r="A70" s="6">
        <f t="shared" si="11"/>
        <v>65</v>
      </c>
      <c r="B70" s="61">
        <v>1903</v>
      </c>
      <c r="C70" s="14" t="s">
        <v>332</v>
      </c>
      <c r="D70" s="15">
        <v>1700000</v>
      </c>
      <c r="E70" s="7">
        <v>1700000</v>
      </c>
      <c r="F70" s="7">
        <f t="shared" si="26"/>
        <v>0</v>
      </c>
      <c r="G70" s="7">
        <v>200000</v>
      </c>
      <c r="H70" s="7">
        <v>0</v>
      </c>
      <c r="I70" s="7"/>
      <c r="J70" s="7"/>
      <c r="K70" s="7">
        <f t="shared" si="16"/>
        <v>0</v>
      </c>
      <c r="L70" s="7">
        <f t="shared" si="17"/>
        <v>0</v>
      </c>
      <c r="M70" s="15">
        <f t="shared" si="18"/>
        <v>900000</v>
      </c>
      <c r="N70" s="15">
        <v>800000</v>
      </c>
      <c r="O70" s="7">
        <f t="shared" si="19"/>
        <v>0</v>
      </c>
      <c r="P70" s="7">
        <f t="shared" si="20"/>
        <v>200000</v>
      </c>
      <c r="Q70" s="7"/>
      <c r="R70" s="197">
        <v>700000</v>
      </c>
      <c r="S70" s="7">
        <f t="shared" si="23"/>
        <v>700000</v>
      </c>
      <c r="T70" s="15">
        <f t="shared" si="24"/>
        <v>0</v>
      </c>
      <c r="U70" s="15">
        <f t="shared" si="27"/>
        <v>800000</v>
      </c>
      <c r="V70" s="15">
        <f t="shared" si="25"/>
        <v>800000</v>
      </c>
      <c r="W70" s="7"/>
      <c r="X70" s="7"/>
      <c r="Y70" s="14"/>
      <c r="Z70" s="6">
        <v>930000</v>
      </c>
      <c r="AA70" s="13"/>
      <c r="AB70" s="17"/>
      <c r="AC70" s="17"/>
      <c r="AD70" s="17"/>
      <c r="AE70" s="17"/>
      <c r="AF70" s="167"/>
      <c r="AG70" s="167"/>
      <c r="AH70" s="7">
        <f t="shared" ref="AH70:AH83" si="28">V70-AG70</f>
        <v>800000</v>
      </c>
    </row>
    <row r="71" spans="1:37" s="8" customFormat="1" x14ac:dyDescent="0.25">
      <c r="A71" s="6">
        <f t="shared" si="11"/>
        <v>66</v>
      </c>
      <c r="B71" s="6">
        <v>1904</v>
      </c>
      <c r="C71" s="69" t="s">
        <v>317</v>
      </c>
      <c r="D71" s="15">
        <v>5700000</v>
      </c>
      <c r="E71" s="7">
        <v>5700000</v>
      </c>
      <c r="F71" s="7">
        <f t="shared" si="26"/>
        <v>0</v>
      </c>
      <c r="G71" s="7">
        <v>350000</v>
      </c>
      <c r="H71" s="7">
        <v>0</v>
      </c>
      <c r="I71" s="7"/>
      <c r="J71" s="7"/>
      <c r="K71" s="7">
        <f>SUM(I71:J71)</f>
        <v>0</v>
      </c>
      <c r="L71" s="7">
        <f>H71+K71</f>
        <v>0</v>
      </c>
      <c r="M71" s="15">
        <f>P71+S71</f>
        <v>2000000</v>
      </c>
      <c r="N71" s="15"/>
      <c r="O71" s="7">
        <f>D71-L71-M71-N71</f>
        <v>3700000</v>
      </c>
      <c r="P71" s="7">
        <f>G71-L71</f>
        <v>350000</v>
      </c>
      <c r="Q71" s="7"/>
      <c r="R71" s="197">
        <f>5350000-3700000</f>
        <v>1650000</v>
      </c>
      <c r="S71" s="7">
        <f>SUM(Q71:R71)</f>
        <v>1650000</v>
      </c>
      <c r="T71" s="15">
        <f>P71-M71+S71</f>
        <v>0</v>
      </c>
      <c r="U71" s="15">
        <f t="shared" si="27"/>
        <v>0</v>
      </c>
      <c r="V71" s="15">
        <f>U71-Y71-W71-X71</f>
        <v>0</v>
      </c>
      <c r="W71" s="7"/>
      <c r="X71" s="7"/>
      <c r="Y71" s="14"/>
      <c r="Z71" s="6">
        <v>742000</v>
      </c>
      <c r="AF71" s="6"/>
      <c r="AG71" s="6"/>
      <c r="AH71" s="7">
        <f t="shared" si="28"/>
        <v>0</v>
      </c>
    </row>
    <row r="72" spans="1:37" ht="15.6" x14ac:dyDescent="0.25">
      <c r="A72" s="6">
        <f t="shared" ref="A72:A83" si="29">A71+1</f>
        <v>67</v>
      </c>
      <c r="B72" s="61">
        <v>1921</v>
      </c>
      <c r="C72" s="14" t="s">
        <v>335</v>
      </c>
      <c r="D72" s="15">
        <v>4500000</v>
      </c>
      <c r="E72" s="7">
        <v>4500000</v>
      </c>
      <c r="F72" s="7">
        <f t="shared" si="26"/>
        <v>0</v>
      </c>
      <c r="G72" s="7">
        <f>500000+500000</f>
        <v>1000000</v>
      </c>
      <c r="H72" s="7">
        <v>7246</v>
      </c>
      <c r="I72" s="7"/>
      <c r="J72" s="7"/>
      <c r="K72" s="7">
        <f t="shared" si="16"/>
        <v>0</v>
      </c>
      <c r="L72" s="7">
        <f t="shared" si="17"/>
        <v>7246</v>
      </c>
      <c r="M72" s="15">
        <f t="shared" si="18"/>
        <v>4492754</v>
      </c>
      <c r="N72" s="15"/>
      <c r="O72" s="7">
        <f t="shared" si="19"/>
        <v>0</v>
      </c>
      <c r="P72" s="7">
        <f t="shared" si="20"/>
        <v>992754</v>
      </c>
      <c r="Q72" s="7"/>
      <c r="R72" s="152">
        <f>4000000-500000</f>
        <v>3500000</v>
      </c>
      <c r="S72" s="7">
        <f t="shared" si="23"/>
        <v>3500000</v>
      </c>
      <c r="T72" s="15">
        <f t="shared" si="24"/>
        <v>0</v>
      </c>
      <c r="U72" s="15">
        <f t="shared" si="27"/>
        <v>0</v>
      </c>
      <c r="V72" s="15">
        <f t="shared" ref="V72:V77" si="30">U72-W72-X72-Y72</f>
        <v>0</v>
      </c>
      <c r="W72" s="7"/>
      <c r="X72" s="7"/>
      <c r="Y72" s="14"/>
      <c r="Z72" s="6">
        <v>829000</v>
      </c>
      <c r="AA72" s="13"/>
      <c r="AB72" s="17"/>
      <c r="AC72" s="17"/>
      <c r="AD72" s="17"/>
      <c r="AE72" s="17"/>
      <c r="AF72" s="167"/>
      <c r="AG72" s="167"/>
      <c r="AH72" s="7">
        <f t="shared" si="28"/>
        <v>0</v>
      </c>
    </row>
    <row r="73" spans="1:37" ht="15.6" x14ac:dyDescent="0.25">
      <c r="A73" s="6">
        <f t="shared" si="29"/>
        <v>68</v>
      </c>
      <c r="B73" s="61">
        <v>1924</v>
      </c>
      <c r="C73" s="14" t="s">
        <v>336</v>
      </c>
      <c r="D73" s="15">
        <v>1800000</v>
      </c>
      <c r="E73" s="7">
        <v>1800000</v>
      </c>
      <c r="F73" s="7">
        <f t="shared" si="26"/>
        <v>0</v>
      </c>
      <c r="G73" s="7">
        <v>100000</v>
      </c>
      <c r="H73" s="7">
        <v>17895</v>
      </c>
      <c r="I73" s="7">
        <v>47625</v>
      </c>
      <c r="J73" s="7"/>
      <c r="K73" s="7">
        <f t="shared" si="16"/>
        <v>47625</v>
      </c>
      <c r="L73" s="7">
        <f t="shared" si="17"/>
        <v>65520</v>
      </c>
      <c r="M73" s="15">
        <f t="shared" si="18"/>
        <v>1734480</v>
      </c>
      <c r="N73" s="15"/>
      <c r="O73" s="7">
        <f t="shared" si="19"/>
        <v>0</v>
      </c>
      <c r="P73" s="7">
        <f t="shared" si="20"/>
        <v>34480</v>
      </c>
      <c r="Q73" s="7"/>
      <c r="R73" s="152">
        <v>1700000</v>
      </c>
      <c r="S73" s="7">
        <f t="shared" si="23"/>
        <v>1700000</v>
      </c>
      <c r="T73" s="15">
        <f t="shared" si="24"/>
        <v>0</v>
      </c>
      <c r="U73" s="15">
        <f t="shared" si="27"/>
        <v>0</v>
      </c>
      <c r="V73" s="15">
        <f t="shared" si="30"/>
        <v>0</v>
      </c>
      <c r="W73" s="7"/>
      <c r="X73" s="7"/>
      <c r="Y73" s="14"/>
      <c r="Z73" s="6">
        <v>826000</v>
      </c>
      <c r="AA73" s="13"/>
      <c r="AB73" s="17"/>
      <c r="AC73" s="17"/>
      <c r="AD73" s="17"/>
      <c r="AE73" s="17"/>
      <c r="AF73" s="167"/>
      <c r="AG73" s="167"/>
      <c r="AH73" s="7">
        <f t="shared" si="28"/>
        <v>0</v>
      </c>
    </row>
    <row r="74" spans="1:37" ht="15.6" x14ac:dyDescent="0.25">
      <c r="A74" s="6">
        <f t="shared" si="29"/>
        <v>69</v>
      </c>
      <c r="B74" s="61">
        <v>1927</v>
      </c>
      <c r="C74" s="14" t="s">
        <v>337</v>
      </c>
      <c r="D74" s="15">
        <v>860000</v>
      </c>
      <c r="E74" s="7">
        <v>860000</v>
      </c>
      <c r="F74" s="7">
        <f t="shared" si="26"/>
        <v>0</v>
      </c>
      <c r="G74" s="7">
        <v>0</v>
      </c>
      <c r="H74" s="7">
        <v>0</v>
      </c>
      <c r="I74" s="7"/>
      <c r="J74" s="7"/>
      <c r="K74" s="7">
        <f t="shared" si="16"/>
        <v>0</v>
      </c>
      <c r="L74" s="7">
        <f t="shared" si="17"/>
        <v>0</v>
      </c>
      <c r="M74" s="15">
        <f t="shared" si="18"/>
        <v>860000</v>
      </c>
      <c r="N74" s="15"/>
      <c r="O74" s="7">
        <f t="shared" si="19"/>
        <v>0</v>
      </c>
      <c r="P74" s="7">
        <f t="shared" si="20"/>
        <v>0</v>
      </c>
      <c r="Q74" s="7"/>
      <c r="R74" s="15">
        <v>860000</v>
      </c>
      <c r="S74" s="7">
        <f t="shared" si="23"/>
        <v>860000</v>
      </c>
      <c r="T74" s="15">
        <f t="shared" si="24"/>
        <v>0</v>
      </c>
      <c r="U74" s="15">
        <f t="shared" si="27"/>
        <v>0</v>
      </c>
      <c r="V74" s="15">
        <f t="shared" si="30"/>
        <v>0</v>
      </c>
      <c r="W74" s="7"/>
      <c r="X74" s="7"/>
      <c r="Y74" s="14"/>
      <c r="Z74" s="6">
        <v>824000</v>
      </c>
      <c r="AA74" s="13"/>
      <c r="AB74" s="17"/>
      <c r="AC74" s="17"/>
      <c r="AD74" s="17"/>
      <c r="AE74" s="17"/>
      <c r="AF74" s="167"/>
      <c r="AG74" s="167"/>
      <c r="AH74" s="7">
        <f t="shared" si="28"/>
        <v>0</v>
      </c>
    </row>
    <row r="75" spans="1:37" ht="15.6" x14ac:dyDescent="0.25">
      <c r="A75" s="6">
        <f t="shared" si="29"/>
        <v>70</v>
      </c>
      <c r="B75" s="61">
        <v>1929</v>
      </c>
      <c r="C75" s="14" t="s">
        <v>338</v>
      </c>
      <c r="D75" s="15">
        <v>525000</v>
      </c>
      <c r="E75" s="7">
        <v>1050000</v>
      </c>
      <c r="F75" s="7">
        <f t="shared" si="26"/>
        <v>-525000</v>
      </c>
      <c r="G75" s="7">
        <v>525000</v>
      </c>
      <c r="H75" s="7">
        <v>0</v>
      </c>
      <c r="I75" s="7"/>
      <c r="J75" s="7"/>
      <c r="K75" s="7">
        <f t="shared" si="16"/>
        <v>0</v>
      </c>
      <c r="L75" s="7">
        <f t="shared" si="17"/>
        <v>0</v>
      </c>
      <c r="M75" s="15">
        <f t="shared" si="18"/>
        <v>525000</v>
      </c>
      <c r="N75" s="15"/>
      <c r="O75" s="7">
        <f t="shared" si="19"/>
        <v>0</v>
      </c>
      <c r="P75" s="7">
        <f t="shared" si="20"/>
        <v>525000</v>
      </c>
      <c r="Q75" s="7"/>
      <c r="R75" s="7"/>
      <c r="S75" s="7">
        <f t="shared" si="23"/>
        <v>0</v>
      </c>
      <c r="T75" s="15">
        <f t="shared" si="24"/>
        <v>0</v>
      </c>
      <c r="U75" s="15">
        <f t="shared" si="27"/>
        <v>0</v>
      </c>
      <c r="V75" s="15">
        <f t="shared" si="30"/>
        <v>0</v>
      </c>
      <c r="W75" s="7"/>
      <c r="X75" s="7"/>
      <c r="Y75" s="14"/>
      <c r="Z75" s="6">
        <v>840000</v>
      </c>
      <c r="AA75" s="13"/>
      <c r="AB75" s="17"/>
      <c r="AC75" s="17"/>
      <c r="AD75" s="17"/>
      <c r="AE75" s="17"/>
      <c r="AF75" s="167"/>
      <c r="AG75" s="167"/>
      <c r="AH75" s="7">
        <f t="shared" si="28"/>
        <v>0</v>
      </c>
    </row>
    <row r="76" spans="1:37" ht="15.6" x14ac:dyDescent="0.25">
      <c r="A76" s="6">
        <f t="shared" si="29"/>
        <v>71</v>
      </c>
      <c r="B76" s="61">
        <v>1936</v>
      </c>
      <c r="C76" s="14" t="s">
        <v>713</v>
      </c>
      <c r="D76" s="15">
        <v>6082795</v>
      </c>
      <c r="E76" s="7">
        <v>5198540</v>
      </c>
      <c r="F76" s="7">
        <f t="shared" si="26"/>
        <v>884255</v>
      </c>
      <c r="G76" s="7">
        <v>0</v>
      </c>
      <c r="H76" s="7">
        <v>0</v>
      </c>
      <c r="I76" s="7"/>
      <c r="J76" s="7"/>
      <c r="K76" s="7">
        <f>SUM(I76:J76)</f>
        <v>0</v>
      </c>
      <c r="L76" s="7">
        <f t="shared" si="17"/>
        <v>0</v>
      </c>
      <c r="M76" s="15">
        <f t="shared" si="18"/>
        <v>0</v>
      </c>
      <c r="N76" s="15">
        <v>6082795</v>
      </c>
      <c r="O76" s="7">
        <f t="shared" si="19"/>
        <v>0</v>
      </c>
      <c r="P76" s="7">
        <f t="shared" si="20"/>
        <v>0</v>
      </c>
      <c r="Q76" s="7"/>
      <c r="R76" s="7"/>
      <c r="S76" s="7">
        <f t="shared" si="23"/>
        <v>0</v>
      </c>
      <c r="T76" s="15">
        <f t="shared" si="24"/>
        <v>0</v>
      </c>
      <c r="U76" s="15">
        <f t="shared" si="27"/>
        <v>6082795</v>
      </c>
      <c r="V76" s="15">
        <f t="shared" si="30"/>
        <v>0</v>
      </c>
      <c r="W76" s="7"/>
      <c r="X76" s="7"/>
      <c r="Y76" s="15">
        <v>6082795</v>
      </c>
      <c r="Z76" s="6">
        <v>732000</v>
      </c>
      <c r="AA76" s="13"/>
      <c r="AB76" s="17"/>
      <c r="AC76" s="17"/>
      <c r="AD76" s="17"/>
      <c r="AE76" s="17"/>
      <c r="AF76" s="167"/>
      <c r="AG76" s="167"/>
      <c r="AH76" s="7">
        <f t="shared" si="28"/>
        <v>0</v>
      </c>
      <c r="AK76" s="227"/>
    </row>
    <row r="77" spans="1:37" ht="15.6" x14ac:dyDescent="0.25">
      <c r="A77" s="6">
        <f t="shared" si="29"/>
        <v>72</v>
      </c>
      <c r="B77" s="61">
        <v>1940</v>
      </c>
      <c r="C77" s="14" t="s">
        <v>410</v>
      </c>
      <c r="D77" s="15">
        <v>186000</v>
      </c>
      <c r="E77" s="7">
        <v>186000</v>
      </c>
      <c r="F77" s="7">
        <f t="shared" si="26"/>
        <v>0</v>
      </c>
      <c r="G77" s="7">
        <v>0</v>
      </c>
      <c r="H77" s="7">
        <v>0</v>
      </c>
      <c r="I77" s="7"/>
      <c r="J77" s="7"/>
      <c r="K77" s="7">
        <f>SUM(I77:J77)</f>
        <v>0</v>
      </c>
      <c r="L77" s="7">
        <f>H77+K77</f>
        <v>0</v>
      </c>
      <c r="M77" s="15">
        <f>P77+S77</f>
        <v>186000</v>
      </c>
      <c r="N77" s="15"/>
      <c r="O77" s="7">
        <f t="shared" ref="O77:O83" si="31">D77-L77-M77-N77</f>
        <v>0</v>
      </c>
      <c r="P77" s="7">
        <f>G77-L77</f>
        <v>0</v>
      </c>
      <c r="Q77" s="7"/>
      <c r="R77" s="7">
        <v>186000</v>
      </c>
      <c r="S77" s="7">
        <f>SUM(Q77:R77)</f>
        <v>186000</v>
      </c>
      <c r="T77" s="15">
        <f>P77-M77+S77</f>
        <v>0</v>
      </c>
      <c r="U77" s="15">
        <f t="shared" si="27"/>
        <v>0</v>
      </c>
      <c r="V77" s="15">
        <f t="shared" si="30"/>
        <v>0</v>
      </c>
      <c r="W77" s="7"/>
      <c r="X77" s="7"/>
      <c r="Y77" s="14"/>
      <c r="Z77" s="6">
        <v>732000</v>
      </c>
      <c r="AA77" s="13"/>
      <c r="AB77" s="17"/>
      <c r="AC77" s="17"/>
      <c r="AD77" s="17"/>
      <c r="AE77" s="17"/>
      <c r="AF77" s="167"/>
      <c r="AG77" s="167"/>
      <c r="AH77" s="7">
        <f t="shared" si="28"/>
        <v>0</v>
      </c>
      <c r="AK77" s="227"/>
    </row>
    <row r="78" spans="1:37" ht="15.6" x14ac:dyDescent="0.25">
      <c r="A78" s="6">
        <f t="shared" si="29"/>
        <v>73</v>
      </c>
      <c r="B78" s="84">
        <v>1953</v>
      </c>
      <c r="C78" s="14" t="s">
        <v>407</v>
      </c>
      <c r="D78" s="15">
        <v>1800000</v>
      </c>
      <c r="E78" s="7"/>
      <c r="F78" s="7">
        <f t="shared" ref="F78:F83" si="32">D78-E78</f>
        <v>1800000</v>
      </c>
      <c r="G78" s="7"/>
      <c r="H78" s="7"/>
      <c r="I78" s="7"/>
      <c r="J78" s="7"/>
      <c r="K78" s="7"/>
      <c r="L78" s="7"/>
      <c r="M78" s="15">
        <f>P78+S78</f>
        <v>0</v>
      </c>
      <c r="N78" s="15">
        <f>1800000-900000-400000</f>
        <v>500000</v>
      </c>
      <c r="O78" s="7">
        <f t="shared" si="31"/>
        <v>1300000</v>
      </c>
      <c r="P78" s="7">
        <f>G78-L78</f>
        <v>0</v>
      </c>
      <c r="Q78" s="7"/>
      <c r="R78" s="7"/>
      <c r="S78" s="7"/>
      <c r="T78" s="15"/>
      <c r="U78" s="15">
        <f t="shared" ref="U78:U83" si="33">N78-T78</f>
        <v>500000</v>
      </c>
      <c r="V78" s="15">
        <f t="shared" ref="V78:V83" si="34">U78-W78-X78-Y78</f>
        <v>500000</v>
      </c>
      <c r="W78" s="7"/>
      <c r="X78" s="7"/>
      <c r="Y78" s="14"/>
      <c r="Z78" s="6">
        <v>742000</v>
      </c>
      <c r="AA78" s="13"/>
      <c r="AB78" s="17"/>
      <c r="AC78" s="17"/>
      <c r="AD78" s="17"/>
      <c r="AE78" s="17"/>
      <c r="AF78" s="167"/>
      <c r="AG78" s="167"/>
      <c r="AH78" s="232">
        <f t="shared" si="28"/>
        <v>500000</v>
      </c>
      <c r="AK78" s="227"/>
    </row>
    <row r="79" spans="1:37" ht="15.6" x14ac:dyDescent="0.25">
      <c r="A79" s="6">
        <f t="shared" si="29"/>
        <v>74</v>
      </c>
      <c r="B79" s="84">
        <v>1954</v>
      </c>
      <c r="C79" s="14" t="s">
        <v>408</v>
      </c>
      <c r="D79" s="15">
        <v>2000000</v>
      </c>
      <c r="E79" s="7"/>
      <c r="F79" s="7">
        <f t="shared" si="32"/>
        <v>2000000</v>
      </c>
      <c r="G79" s="7"/>
      <c r="H79" s="7"/>
      <c r="I79" s="7"/>
      <c r="J79" s="7"/>
      <c r="K79" s="7"/>
      <c r="L79" s="7"/>
      <c r="M79" s="15"/>
      <c r="N79" s="15">
        <f>2000000-1000000+1000000</f>
        <v>2000000</v>
      </c>
      <c r="O79" s="7">
        <f t="shared" si="31"/>
        <v>0</v>
      </c>
      <c r="P79" s="7"/>
      <c r="Q79" s="7"/>
      <c r="R79" s="7"/>
      <c r="S79" s="7"/>
      <c r="T79" s="15"/>
      <c r="U79" s="15">
        <f t="shared" si="33"/>
        <v>2000000</v>
      </c>
      <c r="V79" s="15">
        <f t="shared" si="34"/>
        <v>2000000</v>
      </c>
      <c r="W79" s="7"/>
      <c r="X79" s="7"/>
      <c r="Y79" s="14"/>
      <c r="Z79" s="6">
        <v>742000</v>
      </c>
      <c r="AA79" s="13"/>
      <c r="AB79" s="17"/>
      <c r="AC79" s="17"/>
      <c r="AD79" s="17"/>
      <c r="AE79" s="17"/>
      <c r="AF79" s="167"/>
      <c r="AG79" s="167"/>
      <c r="AH79" s="232">
        <f t="shared" si="28"/>
        <v>2000000</v>
      </c>
      <c r="AK79" s="227"/>
    </row>
    <row r="80" spans="1:37" ht="15.6" x14ac:dyDescent="0.25">
      <c r="A80" s="6">
        <f t="shared" si="29"/>
        <v>75</v>
      </c>
      <c r="B80" s="84">
        <v>1955</v>
      </c>
      <c r="C80" s="14" t="s">
        <v>409</v>
      </c>
      <c r="D80" s="15">
        <v>250000</v>
      </c>
      <c r="E80" s="7"/>
      <c r="F80" s="7">
        <f t="shared" si="32"/>
        <v>250000</v>
      </c>
      <c r="G80" s="7"/>
      <c r="H80" s="7"/>
      <c r="I80" s="7"/>
      <c r="J80" s="7"/>
      <c r="K80" s="7"/>
      <c r="L80" s="7"/>
      <c r="M80" s="15"/>
      <c r="N80" s="15">
        <v>250000</v>
      </c>
      <c r="O80" s="7">
        <f t="shared" si="31"/>
        <v>0</v>
      </c>
      <c r="P80" s="7"/>
      <c r="Q80" s="7"/>
      <c r="R80" s="7"/>
      <c r="S80" s="7"/>
      <c r="T80" s="15"/>
      <c r="U80" s="15">
        <f t="shared" si="33"/>
        <v>250000</v>
      </c>
      <c r="V80" s="15">
        <f t="shared" si="34"/>
        <v>250000</v>
      </c>
      <c r="W80" s="7"/>
      <c r="X80" s="7"/>
      <c r="Y80" s="14"/>
      <c r="Z80" s="6">
        <v>742000</v>
      </c>
      <c r="AA80" s="13"/>
      <c r="AB80" s="17"/>
      <c r="AC80" s="17"/>
      <c r="AD80" s="17"/>
      <c r="AE80" s="17"/>
      <c r="AF80" s="167"/>
      <c r="AG80" s="167"/>
      <c r="AH80" s="7">
        <f t="shared" si="28"/>
        <v>250000</v>
      </c>
      <c r="AK80" s="227"/>
    </row>
    <row r="81" spans="1:37" ht="15.6" x14ac:dyDescent="0.25">
      <c r="A81" s="6">
        <f t="shared" si="29"/>
        <v>76</v>
      </c>
      <c r="B81" s="84">
        <v>1956</v>
      </c>
      <c r="C81" s="14" t="s">
        <v>499</v>
      </c>
      <c r="D81" s="15">
        <v>1500000</v>
      </c>
      <c r="E81" s="7"/>
      <c r="F81" s="7">
        <f t="shared" si="32"/>
        <v>1500000</v>
      </c>
      <c r="G81" s="7"/>
      <c r="H81" s="7"/>
      <c r="I81" s="7"/>
      <c r="J81" s="7"/>
      <c r="K81" s="7"/>
      <c r="L81" s="7"/>
      <c r="M81" s="15"/>
      <c r="N81" s="15">
        <f>1500000-750000</f>
        <v>750000</v>
      </c>
      <c r="O81" s="7">
        <f t="shared" si="31"/>
        <v>750000</v>
      </c>
      <c r="P81" s="7"/>
      <c r="Q81" s="7"/>
      <c r="R81" s="7"/>
      <c r="S81" s="7"/>
      <c r="T81" s="15"/>
      <c r="U81" s="15">
        <f t="shared" si="33"/>
        <v>750000</v>
      </c>
      <c r="V81" s="15">
        <f t="shared" si="34"/>
        <v>750000</v>
      </c>
      <c r="W81" s="7"/>
      <c r="X81" s="7"/>
      <c r="Y81" s="14"/>
      <c r="Z81" s="6">
        <v>742000</v>
      </c>
      <c r="AA81" s="13"/>
      <c r="AB81" s="17"/>
      <c r="AC81" s="17"/>
      <c r="AD81" s="17"/>
      <c r="AE81" s="17"/>
      <c r="AF81" s="167"/>
      <c r="AG81" s="167"/>
      <c r="AH81" s="232">
        <f t="shared" si="28"/>
        <v>750000</v>
      </c>
      <c r="AK81" s="227"/>
    </row>
    <row r="82" spans="1:37" ht="15.6" x14ac:dyDescent="0.25">
      <c r="A82" s="6">
        <f t="shared" si="29"/>
        <v>77</v>
      </c>
      <c r="B82" s="84">
        <v>1957</v>
      </c>
      <c r="C82" s="14" t="s">
        <v>543</v>
      </c>
      <c r="D82" s="15">
        <v>60000000</v>
      </c>
      <c r="E82" s="7"/>
      <c r="F82" s="7">
        <f t="shared" si="32"/>
        <v>60000000</v>
      </c>
      <c r="G82" s="7"/>
      <c r="H82" s="7"/>
      <c r="I82" s="7"/>
      <c r="J82" s="7"/>
      <c r="K82" s="7"/>
      <c r="L82" s="7"/>
      <c r="M82" s="15"/>
      <c r="N82" s="15">
        <f>6000000-1500000-2000000-1000000</f>
        <v>1500000</v>
      </c>
      <c r="O82" s="88">
        <f t="shared" si="31"/>
        <v>58500000</v>
      </c>
      <c r="P82" s="7"/>
      <c r="Q82" s="7"/>
      <c r="R82" s="7"/>
      <c r="S82" s="7"/>
      <c r="T82" s="15"/>
      <c r="U82" s="15">
        <f t="shared" si="33"/>
        <v>1500000</v>
      </c>
      <c r="V82" s="15">
        <f t="shared" si="34"/>
        <v>1500000</v>
      </c>
      <c r="W82" s="7"/>
      <c r="X82" s="7"/>
      <c r="Y82" s="14"/>
      <c r="Z82" s="6">
        <v>810000</v>
      </c>
      <c r="AA82" s="13"/>
      <c r="AB82" s="17"/>
      <c r="AC82" s="17"/>
      <c r="AD82" s="17"/>
      <c r="AE82" s="17"/>
      <c r="AF82" s="167"/>
      <c r="AG82" s="7"/>
      <c r="AH82" s="232">
        <f t="shared" si="28"/>
        <v>1500000</v>
      </c>
    </row>
    <row r="83" spans="1:37" ht="15.6" x14ac:dyDescent="0.25">
      <c r="A83" s="6">
        <f t="shared" si="29"/>
        <v>78</v>
      </c>
      <c r="B83" s="84">
        <v>1958</v>
      </c>
      <c r="C83" s="14" t="s">
        <v>537</v>
      </c>
      <c r="D83" s="15">
        <v>850000</v>
      </c>
      <c r="E83" s="7"/>
      <c r="F83" s="7">
        <f t="shared" si="32"/>
        <v>850000</v>
      </c>
      <c r="G83" s="7"/>
      <c r="H83" s="7"/>
      <c r="I83" s="7"/>
      <c r="J83" s="7"/>
      <c r="K83" s="7"/>
      <c r="L83" s="7"/>
      <c r="M83" s="15"/>
      <c r="N83" s="15">
        <v>850000</v>
      </c>
      <c r="O83" s="88">
        <f t="shared" si="31"/>
        <v>0</v>
      </c>
      <c r="P83" s="7"/>
      <c r="Q83" s="7"/>
      <c r="R83" s="7"/>
      <c r="S83" s="7"/>
      <c r="T83" s="15"/>
      <c r="U83" s="15">
        <f t="shared" si="33"/>
        <v>850000</v>
      </c>
      <c r="V83" s="15">
        <f t="shared" si="34"/>
        <v>850000</v>
      </c>
      <c r="W83" s="7"/>
      <c r="X83" s="7"/>
      <c r="Y83" s="14"/>
      <c r="Z83" s="6">
        <v>829000</v>
      </c>
      <c r="AA83" s="13"/>
      <c r="AB83" s="17"/>
      <c r="AC83" s="17"/>
      <c r="AD83" s="17"/>
      <c r="AE83" s="17"/>
      <c r="AF83" s="167"/>
      <c r="AG83" s="7"/>
      <c r="AH83" s="7">
        <f t="shared" si="28"/>
        <v>850000</v>
      </c>
    </row>
    <row r="84" spans="1:37" s="159" customFormat="1" ht="15.6" x14ac:dyDescent="0.25">
      <c r="A84" s="3"/>
      <c r="B84" s="78"/>
      <c r="C84" s="239" t="s">
        <v>609</v>
      </c>
      <c r="D84" s="216">
        <f>SUM(D6:D83)</f>
        <v>1193472405</v>
      </c>
      <c r="E84" s="216">
        <f t="shared" ref="E84:Y84" si="35">SUM(E6:E83)</f>
        <v>1112242347</v>
      </c>
      <c r="F84" s="216">
        <f t="shared" si="35"/>
        <v>81230058</v>
      </c>
      <c r="G84" s="216">
        <f t="shared" si="35"/>
        <v>538064738</v>
      </c>
      <c r="H84" s="216">
        <f t="shared" si="35"/>
        <v>414455777.31999999</v>
      </c>
      <c r="I84" s="216">
        <f t="shared" si="35"/>
        <v>44979492.860000007</v>
      </c>
      <c r="J84" s="216">
        <f t="shared" si="35"/>
        <v>6155440.2599999998</v>
      </c>
      <c r="K84" s="216">
        <f t="shared" si="35"/>
        <v>51134933.119999982</v>
      </c>
      <c r="L84" s="216">
        <f t="shared" si="35"/>
        <v>465590710.44000006</v>
      </c>
      <c r="M84" s="216">
        <f t="shared" si="35"/>
        <v>182219419.55999994</v>
      </c>
      <c r="N84" s="216">
        <f t="shared" si="35"/>
        <v>168977275</v>
      </c>
      <c r="O84" s="216">
        <f t="shared" si="35"/>
        <v>376685000</v>
      </c>
      <c r="P84" s="216">
        <f t="shared" si="35"/>
        <v>72474027.560000017</v>
      </c>
      <c r="Q84" s="216">
        <f t="shared" si="35"/>
        <v>75143589</v>
      </c>
      <c r="R84" s="216">
        <f t="shared" si="35"/>
        <v>34836000</v>
      </c>
      <c r="S84" s="216">
        <f t="shared" si="35"/>
        <v>109979589</v>
      </c>
      <c r="T84" s="216">
        <f t="shared" si="35"/>
        <v>234197</v>
      </c>
      <c r="U84" s="216">
        <f t="shared" si="35"/>
        <v>168743078</v>
      </c>
      <c r="V84" s="216">
        <f t="shared" si="35"/>
        <v>82697547.299999997</v>
      </c>
      <c r="W84" s="216">
        <f t="shared" si="35"/>
        <v>6500000</v>
      </c>
      <c r="X84" s="216">
        <f t="shared" si="35"/>
        <v>0</v>
      </c>
      <c r="Y84" s="216">
        <f t="shared" si="35"/>
        <v>79545530.700000003</v>
      </c>
      <c r="Z84" s="157"/>
      <c r="AA84" s="13"/>
      <c r="AB84" s="158"/>
      <c r="AC84" s="158"/>
      <c r="AD84" s="158"/>
      <c r="AE84" s="158"/>
      <c r="AF84" s="248"/>
      <c r="AG84" s="216">
        <f>SUM(AG78:AG83)</f>
        <v>0</v>
      </c>
      <c r="AH84" s="216">
        <f>SUM(AH78:AH83)</f>
        <v>5850000</v>
      </c>
      <c r="AK84" s="227"/>
    </row>
    <row r="85" spans="1:37" s="159" customFormat="1" ht="15.6" x14ac:dyDescent="0.25">
      <c r="A85" s="3"/>
      <c r="B85" s="78"/>
      <c r="C85" s="239"/>
      <c r="D85" s="216"/>
      <c r="E85" s="157"/>
      <c r="F85" s="157"/>
      <c r="G85" s="157"/>
      <c r="H85" s="157"/>
      <c r="I85" s="157"/>
      <c r="J85" s="157"/>
      <c r="K85" s="157"/>
      <c r="L85" s="157"/>
      <c r="M85" s="216"/>
      <c r="N85" s="216"/>
      <c r="O85" s="157"/>
      <c r="P85" s="157"/>
      <c r="Q85" s="157"/>
      <c r="R85" s="157"/>
      <c r="S85" s="157"/>
      <c r="T85" s="216"/>
      <c r="U85" s="216"/>
      <c r="V85" s="216"/>
      <c r="W85" s="157"/>
      <c r="X85" s="157"/>
      <c r="Y85" s="216"/>
      <c r="Z85" s="3"/>
      <c r="AA85" s="13"/>
      <c r="AB85" s="158"/>
      <c r="AC85" s="158"/>
      <c r="AD85" s="158"/>
      <c r="AE85" s="158"/>
      <c r="AF85" s="248"/>
      <c r="AG85" s="248"/>
      <c r="AH85" s="7">
        <f t="shared" ref="AH85:AH107" si="36">V85-AG85</f>
        <v>0</v>
      </c>
      <c r="AK85" s="227"/>
    </row>
    <row r="86" spans="1:37" s="159" customFormat="1" ht="15.6" x14ac:dyDescent="0.25">
      <c r="A86" s="3"/>
      <c r="B86" s="78"/>
      <c r="C86" s="239" t="s">
        <v>539</v>
      </c>
      <c r="D86" s="216"/>
      <c r="E86" s="157"/>
      <c r="F86" s="157"/>
      <c r="G86" s="157"/>
      <c r="H86" s="157"/>
      <c r="I86" s="157"/>
      <c r="J86" s="157"/>
      <c r="K86" s="157"/>
      <c r="L86" s="157"/>
      <c r="M86" s="216"/>
      <c r="N86" s="216"/>
      <c r="O86" s="157"/>
      <c r="P86" s="157"/>
      <c r="Q86" s="157"/>
      <c r="R86" s="157"/>
      <c r="S86" s="157"/>
      <c r="T86" s="216"/>
      <c r="U86" s="216"/>
      <c r="V86" s="216"/>
      <c r="W86" s="157"/>
      <c r="X86" s="157"/>
      <c r="Y86" s="216"/>
      <c r="Z86" s="3"/>
      <c r="AA86" s="13"/>
      <c r="AB86" s="158"/>
      <c r="AC86" s="158"/>
      <c r="AD86" s="158"/>
      <c r="AE86" s="158"/>
      <c r="AF86" s="248"/>
      <c r="AG86" s="248"/>
      <c r="AH86" s="7">
        <f t="shared" si="36"/>
        <v>0</v>
      </c>
      <c r="AK86" s="227"/>
    </row>
    <row r="87" spans="1:37" s="16" customFormat="1" x14ac:dyDescent="0.25">
      <c r="A87" s="6">
        <f>A83+1</f>
        <v>79</v>
      </c>
      <c r="B87" s="14">
        <v>1547</v>
      </c>
      <c r="C87" s="14" t="s">
        <v>256</v>
      </c>
      <c r="D87" s="15">
        <v>131000000</v>
      </c>
      <c r="E87" s="15">
        <v>131000000</v>
      </c>
      <c r="F87" s="7">
        <f t="shared" ref="F87:F100" si="37">D87-E87</f>
        <v>0</v>
      </c>
      <c r="G87" s="15">
        <v>19822444</v>
      </c>
      <c r="H87" s="15">
        <v>4249048.8</v>
      </c>
      <c r="I87" s="15">
        <v>2137819.4900000002</v>
      </c>
      <c r="J87" s="15">
        <v>1347250.48</v>
      </c>
      <c r="K87" s="15">
        <f t="shared" ref="K87:K98" si="38">SUM(I87:J87)</f>
        <v>3485069.97</v>
      </c>
      <c r="L87" s="15">
        <f t="shared" ref="L87:L98" si="39">H87+K87</f>
        <v>7734118.7699999996</v>
      </c>
      <c r="M87" s="15">
        <f>P87+S87</f>
        <v>36265881.230000004</v>
      </c>
      <c r="N87" s="15">
        <f>56000000-6000000-5700000</f>
        <v>44300000</v>
      </c>
      <c r="O87" s="15">
        <f t="shared" ref="O87:O93" si="40">D87-L87-M87-N87</f>
        <v>42700000</v>
      </c>
      <c r="P87" s="15">
        <f t="shared" ref="P87:P93" si="41">G87-L87</f>
        <v>12088325.23</v>
      </c>
      <c r="Q87" s="197">
        <v>24177556</v>
      </c>
      <c r="R87" s="15"/>
      <c r="S87" s="15">
        <f t="shared" ref="S87:S93" si="42">SUM(Q87:R87)</f>
        <v>24177556</v>
      </c>
      <c r="T87" s="15">
        <f t="shared" ref="T87:T93" si="43">P87-M87+S87</f>
        <v>0</v>
      </c>
      <c r="U87" s="15">
        <f t="shared" ref="U87:U100" si="44">N87-T87</f>
        <v>44300000</v>
      </c>
      <c r="V87" s="15">
        <f>U87-W87-X87-Y87</f>
        <v>24300000</v>
      </c>
      <c r="W87" s="15"/>
      <c r="X87" s="15"/>
      <c r="Y87" s="15">
        <v>20000000</v>
      </c>
      <c r="Z87" s="14">
        <v>742000</v>
      </c>
      <c r="AF87" s="14"/>
      <c r="AG87" s="14"/>
      <c r="AH87" s="232">
        <f t="shared" si="36"/>
        <v>24300000</v>
      </c>
      <c r="AK87" s="227"/>
    </row>
    <row r="88" spans="1:37" s="71" customFormat="1" x14ac:dyDescent="0.25">
      <c r="A88" s="6">
        <f t="shared" ref="A88:A107" si="45">A87+1</f>
        <v>80</v>
      </c>
      <c r="B88" s="14">
        <v>1797</v>
      </c>
      <c r="C88" s="14" t="s">
        <v>279</v>
      </c>
      <c r="D88" s="15">
        <v>3000000</v>
      </c>
      <c r="E88" s="15">
        <v>3000000</v>
      </c>
      <c r="F88" s="7">
        <f t="shared" si="37"/>
        <v>0</v>
      </c>
      <c r="G88" s="15">
        <v>1761262</v>
      </c>
      <c r="H88" s="15">
        <v>0</v>
      </c>
      <c r="I88" s="15"/>
      <c r="J88" s="15"/>
      <c r="K88" s="15">
        <f t="shared" si="38"/>
        <v>0</v>
      </c>
      <c r="L88" s="15">
        <f t="shared" si="39"/>
        <v>0</v>
      </c>
      <c r="M88" s="15">
        <f>P88+S88-1511262</f>
        <v>250000</v>
      </c>
      <c r="N88" s="15"/>
      <c r="O88" s="15">
        <f t="shared" si="40"/>
        <v>2750000</v>
      </c>
      <c r="P88" s="15">
        <f t="shared" si="41"/>
        <v>1761262</v>
      </c>
      <c r="Q88" s="15"/>
      <c r="R88" s="15"/>
      <c r="S88" s="15">
        <f t="shared" si="42"/>
        <v>0</v>
      </c>
      <c r="T88" s="15">
        <f t="shared" si="43"/>
        <v>1511262</v>
      </c>
      <c r="U88" s="15">
        <f t="shared" si="44"/>
        <v>-1511262</v>
      </c>
      <c r="V88" s="15">
        <f>U88-Y88-W88-X88</f>
        <v>0</v>
      </c>
      <c r="W88" s="15"/>
      <c r="X88" s="15"/>
      <c r="Y88" s="15">
        <v>-1511262</v>
      </c>
      <c r="Z88" s="14">
        <v>820000</v>
      </c>
      <c r="AA88" s="16"/>
      <c r="AB88" s="16"/>
      <c r="AC88" s="16"/>
      <c r="AF88" s="239"/>
      <c r="AG88" s="239"/>
      <c r="AH88" s="7">
        <f t="shared" si="36"/>
        <v>0</v>
      </c>
      <c r="AK88" s="227"/>
    </row>
    <row r="89" spans="1:37" s="77" customFormat="1" ht="15.6" x14ac:dyDescent="0.25">
      <c r="A89" s="6">
        <f t="shared" si="45"/>
        <v>81</v>
      </c>
      <c r="B89" s="74">
        <v>1827</v>
      </c>
      <c r="C89" s="14" t="s">
        <v>328</v>
      </c>
      <c r="D89" s="15">
        <v>100000000</v>
      </c>
      <c r="E89" s="15">
        <v>66250000</v>
      </c>
      <c r="F89" s="7">
        <f t="shared" si="37"/>
        <v>33750000</v>
      </c>
      <c r="G89" s="15">
        <v>4000000</v>
      </c>
      <c r="H89" s="15">
        <v>313037</v>
      </c>
      <c r="I89" s="15">
        <v>1787464.35</v>
      </c>
      <c r="J89" s="15"/>
      <c r="K89" s="15">
        <f t="shared" si="38"/>
        <v>1787464.35</v>
      </c>
      <c r="L89" s="15">
        <f t="shared" si="39"/>
        <v>2100501.35</v>
      </c>
      <c r="M89" s="15">
        <f>P89+S89</f>
        <v>15899498.65</v>
      </c>
      <c r="N89" s="15">
        <f>82000000-12000000</f>
        <v>70000000</v>
      </c>
      <c r="O89" s="15">
        <f t="shared" si="40"/>
        <v>12000000</v>
      </c>
      <c r="P89" s="15">
        <f t="shared" si="41"/>
        <v>1899498.65</v>
      </c>
      <c r="Q89" s="197">
        <v>14000000</v>
      </c>
      <c r="R89" s="15"/>
      <c r="S89" s="15">
        <f t="shared" si="42"/>
        <v>14000000</v>
      </c>
      <c r="T89" s="15">
        <f t="shared" si="43"/>
        <v>0</v>
      </c>
      <c r="U89" s="15">
        <f t="shared" si="44"/>
        <v>70000000</v>
      </c>
      <c r="V89" s="15">
        <f>U89-W89-X89-Y89</f>
        <v>0</v>
      </c>
      <c r="W89" s="15"/>
      <c r="X89" s="15"/>
      <c r="Y89" s="15">
        <v>70000000</v>
      </c>
      <c r="Z89" s="14">
        <v>746000</v>
      </c>
      <c r="AA89" s="75"/>
      <c r="AB89" s="76"/>
      <c r="AC89" s="76"/>
      <c r="AD89" s="76"/>
      <c r="AE89" s="76"/>
      <c r="AF89" s="249"/>
      <c r="AG89" s="249"/>
      <c r="AH89" s="7">
        <f t="shared" si="36"/>
        <v>0</v>
      </c>
      <c r="AK89" s="227"/>
    </row>
    <row r="90" spans="1:37" s="8" customFormat="1" x14ac:dyDescent="0.25">
      <c r="A90" s="6">
        <f t="shared" si="45"/>
        <v>82</v>
      </c>
      <c r="B90" s="6">
        <v>1905</v>
      </c>
      <c r="C90" s="69" t="s">
        <v>325</v>
      </c>
      <c r="D90" s="15">
        <v>3366000</v>
      </c>
      <c r="E90" s="7">
        <v>3366000</v>
      </c>
      <c r="F90" s="7">
        <f t="shared" si="37"/>
        <v>0</v>
      </c>
      <c r="G90" s="7">
        <v>0</v>
      </c>
      <c r="H90" s="7">
        <v>0</v>
      </c>
      <c r="I90" s="7"/>
      <c r="J90" s="7"/>
      <c r="K90" s="7">
        <f t="shared" si="38"/>
        <v>0</v>
      </c>
      <c r="L90" s="7">
        <f t="shared" si="39"/>
        <v>0</v>
      </c>
      <c r="M90" s="15">
        <f>P90+S90</f>
        <v>3366000</v>
      </c>
      <c r="N90" s="15"/>
      <c r="O90" s="7">
        <f t="shared" si="40"/>
        <v>0</v>
      </c>
      <c r="P90" s="7">
        <f t="shared" si="41"/>
        <v>0</v>
      </c>
      <c r="Q90" s="7"/>
      <c r="R90" s="197">
        <v>3366000</v>
      </c>
      <c r="S90" s="7">
        <f t="shared" si="42"/>
        <v>3366000</v>
      </c>
      <c r="T90" s="15">
        <f t="shared" si="43"/>
        <v>0</v>
      </c>
      <c r="U90" s="15">
        <f t="shared" si="44"/>
        <v>0</v>
      </c>
      <c r="V90" s="15">
        <f>U90-Y90-W90-X90</f>
        <v>0</v>
      </c>
      <c r="W90" s="7"/>
      <c r="X90" s="7"/>
      <c r="Y90" s="14"/>
      <c r="Z90" s="6">
        <v>746000</v>
      </c>
      <c r="AF90" s="6"/>
      <c r="AG90" s="6"/>
      <c r="AH90" s="7">
        <f t="shared" si="36"/>
        <v>0</v>
      </c>
    </row>
    <row r="91" spans="1:37" s="8" customFormat="1" x14ac:dyDescent="0.25">
      <c r="A91" s="6">
        <f t="shared" si="45"/>
        <v>83</v>
      </c>
      <c r="B91" s="6">
        <v>1906</v>
      </c>
      <c r="C91" s="69" t="s">
        <v>321</v>
      </c>
      <c r="D91" s="15">
        <v>10000000</v>
      </c>
      <c r="E91" s="7">
        <v>650000</v>
      </c>
      <c r="F91" s="7">
        <f t="shared" si="37"/>
        <v>9350000</v>
      </c>
      <c r="G91" s="7">
        <v>0</v>
      </c>
      <c r="H91" s="7">
        <v>0</v>
      </c>
      <c r="I91" s="7"/>
      <c r="J91" s="7"/>
      <c r="K91" s="7">
        <f t="shared" si="38"/>
        <v>0</v>
      </c>
      <c r="L91" s="7">
        <f t="shared" si="39"/>
        <v>0</v>
      </c>
      <c r="M91" s="15">
        <f>P91+S91</f>
        <v>650000</v>
      </c>
      <c r="N91" s="15">
        <f>9350000-1000000</f>
        <v>8350000</v>
      </c>
      <c r="O91" s="7">
        <f t="shared" si="40"/>
        <v>1000000</v>
      </c>
      <c r="P91" s="7">
        <f t="shared" si="41"/>
        <v>0</v>
      </c>
      <c r="Q91" s="7"/>
      <c r="R91" s="197">
        <v>650000</v>
      </c>
      <c r="S91" s="7">
        <f t="shared" si="42"/>
        <v>650000</v>
      </c>
      <c r="T91" s="15">
        <f t="shared" si="43"/>
        <v>0</v>
      </c>
      <c r="U91" s="15">
        <f t="shared" si="44"/>
        <v>8350000</v>
      </c>
      <c r="V91" s="15">
        <f>U91-Y91-W91-X91</f>
        <v>5100000</v>
      </c>
      <c r="W91" s="7"/>
      <c r="X91" s="7"/>
      <c r="Y91" s="15">
        <v>3250000</v>
      </c>
      <c r="Z91" s="6">
        <v>810000</v>
      </c>
      <c r="AF91" s="6"/>
      <c r="AG91" s="6"/>
      <c r="AH91" s="232">
        <f t="shared" si="36"/>
        <v>5100000</v>
      </c>
    </row>
    <row r="92" spans="1:37" s="8" customFormat="1" x14ac:dyDescent="0.25">
      <c r="A92" s="6">
        <f t="shared" si="45"/>
        <v>84</v>
      </c>
      <c r="B92" s="6">
        <v>1907</v>
      </c>
      <c r="C92" s="69" t="s">
        <v>322</v>
      </c>
      <c r="D92" s="15">
        <v>10000000</v>
      </c>
      <c r="E92" s="7">
        <v>650000</v>
      </c>
      <c r="F92" s="7">
        <f t="shared" si="37"/>
        <v>9350000</v>
      </c>
      <c r="G92" s="7">
        <v>0</v>
      </c>
      <c r="H92" s="7">
        <v>0</v>
      </c>
      <c r="I92" s="7"/>
      <c r="J92" s="7"/>
      <c r="K92" s="7">
        <f t="shared" si="38"/>
        <v>0</v>
      </c>
      <c r="L92" s="7">
        <f t="shared" si="39"/>
        <v>0</v>
      </c>
      <c r="M92" s="15">
        <f>P92+S92</f>
        <v>650000</v>
      </c>
      <c r="N92" s="15">
        <f>9350000-4675000</f>
        <v>4675000</v>
      </c>
      <c r="O92" s="7">
        <f t="shared" si="40"/>
        <v>4675000</v>
      </c>
      <c r="P92" s="7">
        <f t="shared" si="41"/>
        <v>0</v>
      </c>
      <c r="Q92" s="7"/>
      <c r="R92" s="197">
        <v>650000</v>
      </c>
      <c r="S92" s="7">
        <f t="shared" si="42"/>
        <v>650000</v>
      </c>
      <c r="T92" s="15">
        <f t="shared" si="43"/>
        <v>0</v>
      </c>
      <c r="U92" s="15">
        <f t="shared" si="44"/>
        <v>4675000</v>
      </c>
      <c r="V92" s="15">
        <f>U92-Y92-W92-X92</f>
        <v>1425000</v>
      </c>
      <c r="W92" s="7"/>
      <c r="X92" s="7"/>
      <c r="Y92" s="15">
        <v>3250000</v>
      </c>
      <c r="Z92" s="6">
        <v>810000</v>
      </c>
      <c r="AF92" s="6"/>
      <c r="AG92" s="6"/>
      <c r="AH92" s="7">
        <f t="shared" si="36"/>
        <v>1425000</v>
      </c>
    </row>
    <row r="93" spans="1:37" s="8" customFormat="1" x14ac:dyDescent="0.25">
      <c r="A93" s="6">
        <f t="shared" si="45"/>
        <v>85</v>
      </c>
      <c r="B93" s="6">
        <v>1908</v>
      </c>
      <c r="C93" s="69" t="s">
        <v>406</v>
      </c>
      <c r="D93" s="15">
        <v>16000000</v>
      </c>
      <c r="E93" s="7">
        <v>1000000</v>
      </c>
      <c r="F93" s="7">
        <f t="shared" si="37"/>
        <v>15000000</v>
      </c>
      <c r="G93" s="7">
        <v>0</v>
      </c>
      <c r="H93" s="7">
        <v>0</v>
      </c>
      <c r="I93" s="7"/>
      <c r="J93" s="7"/>
      <c r="K93" s="7">
        <f t="shared" si="38"/>
        <v>0</v>
      </c>
      <c r="L93" s="7">
        <f t="shared" si="39"/>
        <v>0</v>
      </c>
      <c r="M93" s="15">
        <f>P93+S93</f>
        <v>1000000</v>
      </c>
      <c r="N93" s="15">
        <f>15000000-7500000-1000000</f>
        <v>6500000</v>
      </c>
      <c r="O93" s="7">
        <f t="shared" si="40"/>
        <v>8500000</v>
      </c>
      <c r="P93" s="7">
        <f t="shared" si="41"/>
        <v>0</v>
      </c>
      <c r="Q93" s="7"/>
      <c r="R93" s="197">
        <v>1000000</v>
      </c>
      <c r="S93" s="7">
        <f t="shared" si="42"/>
        <v>1000000</v>
      </c>
      <c r="T93" s="15">
        <f t="shared" si="43"/>
        <v>0</v>
      </c>
      <c r="U93" s="15">
        <f t="shared" si="44"/>
        <v>6500000</v>
      </c>
      <c r="V93" s="15">
        <f>U93-Y93-W93-X93</f>
        <v>3363738</v>
      </c>
      <c r="W93" s="7"/>
      <c r="X93" s="7"/>
      <c r="Y93" s="15">
        <f>1625000+1511262</f>
        <v>3136262</v>
      </c>
      <c r="Z93" s="6">
        <v>810000</v>
      </c>
      <c r="AF93" s="6"/>
      <c r="AG93" s="6"/>
      <c r="AH93" s="232">
        <f t="shared" si="36"/>
        <v>3363738</v>
      </c>
    </row>
    <row r="94" spans="1:37" ht="15.6" x14ac:dyDescent="0.25">
      <c r="A94" s="6">
        <f t="shared" si="45"/>
        <v>86</v>
      </c>
      <c r="B94" s="61">
        <v>1909</v>
      </c>
      <c r="C94" s="240" t="s">
        <v>360</v>
      </c>
      <c r="D94" s="15">
        <v>10000000</v>
      </c>
      <c r="E94" s="7">
        <v>650000</v>
      </c>
      <c r="F94" s="7">
        <f t="shared" si="37"/>
        <v>9350000</v>
      </c>
      <c r="G94" s="7">
        <v>0</v>
      </c>
      <c r="H94" s="7">
        <v>0</v>
      </c>
      <c r="I94" s="7"/>
      <c r="J94" s="7"/>
      <c r="K94" s="7">
        <f t="shared" si="38"/>
        <v>0</v>
      </c>
      <c r="L94" s="7">
        <f t="shared" si="39"/>
        <v>0</v>
      </c>
      <c r="M94" s="15">
        <f t="shared" ref="M94:M100" si="46">P94+S94</f>
        <v>650000</v>
      </c>
      <c r="N94" s="15">
        <f>9350000-4675000</f>
        <v>4675000</v>
      </c>
      <c r="O94" s="7">
        <f t="shared" ref="O94:O100" si="47">D94-L94-M94-N94</f>
        <v>4675000</v>
      </c>
      <c r="P94" s="7">
        <f t="shared" ref="P94:P100" si="48">G94-L94</f>
        <v>0</v>
      </c>
      <c r="Q94" s="7"/>
      <c r="R94" s="197">
        <v>650000</v>
      </c>
      <c r="S94" s="7">
        <f t="shared" ref="S94:S100" si="49">SUM(Q94:R94)</f>
        <v>650000</v>
      </c>
      <c r="T94" s="15">
        <f t="shared" ref="T94:T100" si="50">P94-M94+S94</f>
        <v>0</v>
      </c>
      <c r="U94" s="15">
        <f t="shared" si="44"/>
        <v>4675000</v>
      </c>
      <c r="V94" s="15">
        <f>U94-W94-X94-Y94</f>
        <v>1425000</v>
      </c>
      <c r="W94" s="7"/>
      <c r="X94" s="7"/>
      <c r="Y94" s="15">
        <v>3250000</v>
      </c>
      <c r="Z94" s="6">
        <v>810000</v>
      </c>
      <c r="AA94" s="13"/>
      <c r="AB94" s="17"/>
      <c r="AC94" s="17"/>
      <c r="AD94" s="17"/>
      <c r="AE94" s="17"/>
      <c r="AF94" s="167"/>
      <c r="AG94" s="167"/>
      <c r="AH94" s="7">
        <f t="shared" si="36"/>
        <v>1425000</v>
      </c>
    </row>
    <row r="95" spans="1:37" ht="15.6" x14ac:dyDescent="0.25">
      <c r="A95" s="6">
        <f t="shared" si="45"/>
        <v>87</v>
      </c>
      <c r="B95" s="61">
        <v>1910</v>
      </c>
      <c r="C95" s="14" t="s">
        <v>333</v>
      </c>
      <c r="D95" s="15">
        <v>650000</v>
      </c>
      <c r="E95" s="7">
        <v>650000</v>
      </c>
      <c r="F95" s="7">
        <f t="shared" si="37"/>
        <v>0</v>
      </c>
      <c r="G95" s="7">
        <v>0</v>
      </c>
      <c r="H95" s="7">
        <v>0</v>
      </c>
      <c r="I95" s="7"/>
      <c r="J95" s="7"/>
      <c r="K95" s="7">
        <f t="shared" si="38"/>
        <v>0</v>
      </c>
      <c r="L95" s="7">
        <f t="shared" si="39"/>
        <v>0</v>
      </c>
      <c r="M95" s="15">
        <f t="shared" si="46"/>
        <v>650000</v>
      </c>
      <c r="N95" s="15"/>
      <c r="O95" s="7">
        <f t="shared" si="47"/>
        <v>0</v>
      </c>
      <c r="P95" s="7">
        <f t="shared" si="48"/>
        <v>0</v>
      </c>
      <c r="Q95" s="7"/>
      <c r="R95" s="197">
        <v>650000</v>
      </c>
      <c r="S95" s="7">
        <f t="shared" si="49"/>
        <v>650000</v>
      </c>
      <c r="T95" s="15">
        <f t="shared" si="50"/>
        <v>0</v>
      </c>
      <c r="U95" s="15">
        <f t="shared" si="44"/>
        <v>0</v>
      </c>
      <c r="V95" s="15">
        <f>U95-W95-X95-Y95</f>
        <v>0</v>
      </c>
      <c r="W95" s="7"/>
      <c r="X95" s="7"/>
      <c r="Y95" s="14"/>
      <c r="Z95" s="6">
        <v>823000</v>
      </c>
      <c r="AA95" s="13"/>
      <c r="AB95" s="17"/>
      <c r="AC95" s="17"/>
      <c r="AD95" s="17"/>
      <c r="AE95" s="17"/>
      <c r="AF95" s="167"/>
      <c r="AG95" s="167"/>
      <c r="AH95" s="7">
        <f t="shared" si="36"/>
        <v>0</v>
      </c>
    </row>
    <row r="96" spans="1:37" ht="27.6" x14ac:dyDescent="0.25">
      <c r="A96" s="6">
        <f t="shared" si="45"/>
        <v>88</v>
      </c>
      <c r="B96" s="61">
        <v>1911</v>
      </c>
      <c r="C96" s="14" t="s">
        <v>749</v>
      </c>
      <c r="D96" s="15">
        <v>16000000</v>
      </c>
      <c r="E96" s="7">
        <v>750000</v>
      </c>
      <c r="F96" s="7">
        <f t="shared" si="37"/>
        <v>15250000</v>
      </c>
      <c r="G96" s="7">
        <v>0</v>
      </c>
      <c r="H96" s="7">
        <v>0</v>
      </c>
      <c r="I96" s="7"/>
      <c r="J96" s="7"/>
      <c r="K96" s="7">
        <f t="shared" si="38"/>
        <v>0</v>
      </c>
      <c r="L96" s="7">
        <f t="shared" si="39"/>
        <v>0</v>
      </c>
      <c r="M96" s="15">
        <f t="shared" si="46"/>
        <v>750000</v>
      </c>
      <c r="N96" s="15">
        <f>15250000-7625000-5000000</f>
        <v>2625000</v>
      </c>
      <c r="O96" s="7">
        <f t="shared" si="47"/>
        <v>12625000</v>
      </c>
      <c r="P96" s="7">
        <f t="shared" si="48"/>
        <v>0</v>
      </c>
      <c r="Q96" s="7"/>
      <c r="R96" s="197">
        <v>750000</v>
      </c>
      <c r="S96" s="7">
        <f t="shared" si="49"/>
        <v>750000</v>
      </c>
      <c r="T96" s="15">
        <f t="shared" si="50"/>
        <v>0</v>
      </c>
      <c r="U96" s="15">
        <f t="shared" si="44"/>
        <v>2625000</v>
      </c>
      <c r="V96" s="15">
        <f>U96-W96-X96-Y96</f>
        <v>1000000</v>
      </c>
      <c r="W96" s="7"/>
      <c r="X96" s="7"/>
      <c r="Y96" s="15">
        <v>1625000</v>
      </c>
      <c r="Z96" s="6">
        <v>810000</v>
      </c>
      <c r="AA96" s="13"/>
      <c r="AB96" s="17"/>
      <c r="AC96" s="17"/>
      <c r="AD96" s="17"/>
      <c r="AE96" s="17"/>
      <c r="AF96" s="167"/>
      <c r="AG96" s="167"/>
      <c r="AH96" s="7">
        <f t="shared" si="36"/>
        <v>1000000</v>
      </c>
      <c r="AK96" s="227"/>
    </row>
    <row r="97" spans="1:38" ht="27.6" x14ac:dyDescent="0.25">
      <c r="A97" s="6">
        <f t="shared" si="45"/>
        <v>89</v>
      </c>
      <c r="B97" s="61">
        <v>1912</v>
      </c>
      <c r="C97" s="69" t="s">
        <v>717</v>
      </c>
      <c r="D97" s="15">
        <v>100000000</v>
      </c>
      <c r="E97" s="7">
        <v>1000000</v>
      </c>
      <c r="F97" s="7">
        <f t="shared" si="37"/>
        <v>99000000</v>
      </c>
      <c r="G97" s="7">
        <v>200000</v>
      </c>
      <c r="H97" s="7">
        <v>0</v>
      </c>
      <c r="I97" s="7"/>
      <c r="J97" s="7"/>
      <c r="K97" s="7">
        <f t="shared" si="38"/>
        <v>0</v>
      </c>
      <c r="L97" s="7">
        <f t="shared" si="39"/>
        <v>0</v>
      </c>
      <c r="M97" s="15">
        <f t="shared" si="46"/>
        <v>1000000</v>
      </c>
      <c r="N97" s="15">
        <v>4000000</v>
      </c>
      <c r="O97" s="7">
        <f t="shared" si="47"/>
        <v>95000000</v>
      </c>
      <c r="P97" s="7">
        <f t="shared" si="48"/>
        <v>200000</v>
      </c>
      <c r="Q97" s="7"/>
      <c r="R97" s="197">
        <v>800000</v>
      </c>
      <c r="S97" s="7">
        <f t="shared" si="49"/>
        <v>800000</v>
      </c>
      <c r="T97" s="15">
        <f t="shared" si="50"/>
        <v>0</v>
      </c>
      <c r="U97" s="15">
        <f t="shared" si="44"/>
        <v>4000000</v>
      </c>
      <c r="V97" s="15">
        <f>U97-Y97-W97-X97</f>
        <v>4000000</v>
      </c>
      <c r="W97" s="7"/>
      <c r="X97" s="7"/>
      <c r="Y97" s="14"/>
      <c r="Z97" s="6">
        <v>810000</v>
      </c>
      <c r="AA97" s="13"/>
      <c r="AB97" s="17"/>
      <c r="AC97" s="17"/>
      <c r="AD97" s="17"/>
      <c r="AE97" s="17"/>
      <c r="AF97" s="167"/>
      <c r="AG97" s="167"/>
      <c r="AH97" s="7">
        <f t="shared" si="36"/>
        <v>4000000</v>
      </c>
      <c r="AK97" s="227"/>
    </row>
    <row r="98" spans="1:38" ht="15.6" x14ac:dyDescent="0.25">
      <c r="A98" s="6">
        <f t="shared" si="45"/>
        <v>90</v>
      </c>
      <c r="B98" s="61">
        <v>1913</v>
      </c>
      <c r="C98" s="69" t="s">
        <v>750</v>
      </c>
      <c r="D98" s="15">
        <v>400000</v>
      </c>
      <c r="E98" s="7">
        <v>400000</v>
      </c>
      <c r="F98" s="7">
        <f t="shared" si="37"/>
        <v>0</v>
      </c>
      <c r="G98" s="7">
        <v>100000</v>
      </c>
      <c r="H98" s="7">
        <v>0</v>
      </c>
      <c r="I98" s="7"/>
      <c r="J98" s="7"/>
      <c r="K98" s="7">
        <f t="shared" si="38"/>
        <v>0</v>
      </c>
      <c r="L98" s="7">
        <f t="shared" si="39"/>
        <v>0</v>
      </c>
      <c r="M98" s="15">
        <f t="shared" si="46"/>
        <v>400000</v>
      </c>
      <c r="N98" s="15"/>
      <c r="O98" s="7">
        <f t="shared" si="47"/>
        <v>0</v>
      </c>
      <c r="P98" s="7">
        <f t="shared" si="48"/>
        <v>100000</v>
      </c>
      <c r="Q98" s="7"/>
      <c r="R98" s="197">
        <v>300000</v>
      </c>
      <c r="S98" s="7">
        <f t="shared" si="49"/>
        <v>300000</v>
      </c>
      <c r="T98" s="15">
        <f t="shared" si="50"/>
        <v>0</v>
      </c>
      <c r="U98" s="15">
        <f t="shared" si="44"/>
        <v>0</v>
      </c>
      <c r="V98" s="15">
        <f>U98-Y98-W98-X98</f>
        <v>0</v>
      </c>
      <c r="W98" s="7"/>
      <c r="X98" s="7"/>
      <c r="Y98" s="14"/>
      <c r="Z98" s="6">
        <v>810000</v>
      </c>
      <c r="AA98" s="13"/>
      <c r="AB98" s="17"/>
      <c r="AC98" s="17"/>
      <c r="AD98" s="17"/>
      <c r="AE98" s="17"/>
      <c r="AF98" s="167"/>
      <c r="AG98" s="167"/>
      <c r="AH98" s="7">
        <f t="shared" si="36"/>
        <v>0</v>
      </c>
      <c r="AK98" s="19"/>
    </row>
    <row r="99" spans="1:38" ht="15.6" x14ac:dyDescent="0.25">
      <c r="A99" s="6">
        <f t="shared" si="45"/>
        <v>91</v>
      </c>
      <c r="B99" s="61">
        <v>1914</v>
      </c>
      <c r="C99" s="14" t="s">
        <v>751</v>
      </c>
      <c r="D99" s="15">
        <v>7500000</v>
      </c>
      <c r="E99" s="7">
        <v>300000</v>
      </c>
      <c r="F99" s="7">
        <f t="shared" si="37"/>
        <v>7200000</v>
      </c>
      <c r="G99" s="7">
        <v>100000</v>
      </c>
      <c r="H99" s="7"/>
      <c r="I99" s="7"/>
      <c r="J99" s="7"/>
      <c r="K99" s="7"/>
      <c r="L99" s="7"/>
      <c r="M99" s="15">
        <f t="shared" si="46"/>
        <v>300000</v>
      </c>
      <c r="N99" s="15">
        <f>7400000-200000-3600000-1000000</f>
        <v>2600000</v>
      </c>
      <c r="O99" s="7">
        <f t="shared" si="47"/>
        <v>4600000</v>
      </c>
      <c r="P99" s="7">
        <f t="shared" si="48"/>
        <v>100000</v>
      </c>
      <c r="Q99" s="7"/>
      <c r="R99" s="197">
        <v>200000</v>
      </c>
      <c r="S99" s="7">
        <f t="shared" si="49"/>
        <v>200000</v>
      </c>
      <c r="T99" s="15">
        <f t="shared" si="50"/>
        <v>0</v>
      </c>
      <c r="U99" s="15">
        <f t="shared" si="44"/>
        <v>2600000</v>
      </c>
      <c r="V99" s="15">
        <f t="shared" ref="V99:V107" si="51">U99-W99-X99-Y99</f>
        <v>2600000</v>
      </c>
      <c r="W99" s="7"/>
      <c r="X99" s="7"/>
      <c r="Y99" s="14"/>
      <c r="Z99" s="6">
        <v>810000</v>
      </c>
      <c r="AA99" s="13"/>
      <c r="AB99" s="17"/>
      <c r="AC99" s="17"/>
      <c r="AD99" s="17"/>
      <c r="AE99" s="17"/>
      <c r="AF99" s="167"/>
      <c r="AG99" s="167"/>
      <c r="AH99" s="232">
        <f t="shared" si="36"/>
        <v>2600000</v>
      </c>
    </row>
    <row r="100" spans="1:38" s="77" customFormat="1" ht="15.6" x14ac:dyDescent="0.25">
      <c r="A100" s="6">
        <f t="shared" si="45"/>
        <v>92</v>
      </c>
      <c r="B100" s="74">
        <v>1919</v>
      </c>
      <c r="C100" s="14" t="s">
        <v>334</v>
      </c>
      <c r="D100" s="15">
        <v>135100000</v>
      </c>
      <c r="E100" s="15">
        <v>135100000</v>
      </c>
      <c r="F100" s="7">
        <f t="shared" si="37"/>
        <v>0</v>
      </c>
      <c r="G100" s="15">
        <v>7684514</v>
      </c>
      <c r="H100" s="15">
        <v>37206</v>
      </c>
      <c r="I100" s="15">
        <v>68094</v>
      </c>
      <c r="J100" s="15"/>
      <c r="K100" s="15">
        <f>SUM(I100:J100)</f>
        <v>68094</v>
      </c>
      <c r="L100" s="15">
        <f>H100+K100</f>
        <v>105300</v>
      </c>
      <c r="M100" s="15">
        <f t="shared" si="46"/>
        <v>7579214</v>
      </c>
      <c r="N100" s="15"/>
      <c r="O100" s="7">
        <f t="shared" si="47"/>
        <v>127415486</v>
      </c>
      <c r="P100" s="15">
        <f t="shared" si="48"/>
        <v>7579214</v>
      </c>
      <c r="Q100" s="15"/>
      <c r="R100" s="194"/>
      <c r="S100" s="15">
        <f t="shared" si="49"/>
        <v>0</v>
      </c>
      <c r="T100" s="15">
        <f t="shared" si="50"/>
        <v>0</v>
      </c>
      <c r="U100" s="15">
        <f t="shared" si="44"/>
        <v>0</v>
      </c>
      <c r="V100" s="15">
        <f t="shared" si="51"/>
        <v>0</v>
      </c>
      <c r="W100" s="15"/>
      <c r="X100" s="15"/>
      <c r="Y100" s="14"/>
      <c r="Z100" s="14">
        <v>810000</v>
      </c>
      <c r="AA100" s="75"/>
      <c r="AB100" s="76"/>
      <c r="AC100" s="76"/>
      <c r="AD100" s="76"/>
      <c r="AE100" s="76"/>
      <c r="AF100" s="249"/>
      <c r="AG100" s="249"/>
      <c r="AH100" s="7">
        <f t="shared" si="36"/>
        <v>0</v>
      </c>
      <c r="AK100" s="236"/>
      <c r="AL100" s="21"/>
    </row>
    <row r="101" spans="1:38" ht="27.6" x14ac:dyDescent="0.25">
      <c r="A101" s="6">
        <f t="shared" si="45"/>
        <v>93</v>
      </c>
      <c r="B101" s="84">
        <v>1959</v>
      </c>
      <c r="C101" s="14" t="s">
        <v>752</v>
      </c>
      <c r="D101" s="15">
        <v>35000000</v>
      </c>
      <c r="E101" s="7"/>
      <c r="F101" s="7">
        <f t="shared" ref="F101:F107" si="52">D101-E101</f>
        <v>35000000</v>
      </c>
      <c r="G101" s="7"/>
      <c r="H101" s="7"/>
      <c r="I101" s="7"/>
      <c r="J101" s="7"/>
      <c r="K101" s="7"/>
      <c r="L101" s="7"/>
      <c r="M101" s="15"/>
      <c r="N101" s="15">
        <v>3500000</v>
      </c>
      <c r="O101" s="7">
        <f t="shared" si="19"/>
        <v>31500000</v>
      </c>
      <c r="P101" s="7"/>
      <c r="Q101" s="7"/>
      <c r="R101" s="7"/>
      <c r="S101" s="7">
        <f>SUM(Q101:R101)</f>
        <v>0</v>
      </c>
      <c r="T101" s="15">
        <f>P101-M101+S101</f>
        <v>0</v>
      </c>
      <c r="U101" s="15">
        <f t="shared" ref="U101:U107" si="53">N101-T101</f>
        <v>3500000</v>
      </c>
      <c r="V101" s="15">
        <f t="shared" si="51"/>
        <v>3500000</v>
      </c>
      <c r="W101" s="7"/>
      <c r="X101" s="7"/>
      <c r="Y101" s="14"/>
      <c r="Z101" s="6">
        <v>810000</v>
      </c>
      <c r="AA101" s="13"/>
      <c r="AB101" s="17"/>
      <c r="AC101" s="17"/>
      <c r="AD101" s="17"/>
      <c r="AE101" s="17"/>
      <c r="AF101" s="167"/>
      <c r="AG101" s="167"/>
      <c r="AH101" s="7">
        <f t="shared" si="36"/>
        <v>3500000</v>
      </c>
    </row>
    <row r="102" spans="1:38" ht="15.6" x14ac:dyDescent="0.25">
      <c r="A102" s="6">
        <f t="shared" si="45"/>
        <v>94</v>
      </c>
      <c r="B102" s="84">
        <v>1960</v>
      </c>
      <c r="C102" s="14" t="s">
        <v>753</v>
      </c>
      <c r="D102" s="15">
        <v>7500000</v>
      </c>
      <c r="E102" s="7"/>
      <c r="F102" s="7">
        <f t="shared" si="52"/>
        <v>7500000</v>
      </c>
      <c r="G102" s="7"/>
      <c r="H102" s="7"/>
      <c r="I102" s="7"/>
      <c r="J102" s="7"/>
      <c r="K102" s="7"/>
      <c r="L102" s="7"/>
      <c r="M102" s="15"/>
      <c r="N102" s="15">
        <f>7500000-3750000</f>
        <v>3750000</v>
      </c>
      <c r="O102" s="7">
        <f t="shared" si="19"/>
        <v>3750000</v>
      </c>
      <c r="P102" s="7"/>
      <c r="Q102" s="7"/>
      <c r="R102" s="7"/>
      <c r="S102" s="7"/>
      <c r="T102" s="15"/>
      <c r="U102" s="15">
        <f t="shared" si="53"/>
        <v>3750000</v>
      </c>
      <c r="V102" s="15">
        <f t="shared" si="51"/>
        <v>1310000</v>
      </c>
      <c r="W102" s="7"/>
      <c r="X102" s="7"/>
      <c r="Y102" s="15">
        <v>2440000</v>
      </c>
      <c r="Z102" s="6">
        <v>810000</v>
      </c>
      <c r="AA102" s="13"/>
      <c r="AB102" s="17"/>
      <c r="AC102" s="17"/>
      <c r="AD102" s="17"/>
      <c r="AE102" s="17"/>
      <c r="AF102" s="167"/>
      <c r="AG102" s="167"/>
      <c r="AH102" s="7">
        <f t="shared" si="36"/>
        <v>1310000</v>
      </c>
    </row>
    <row r="103" spans="1:38" ht="15.6" x14ac:dyDescent="0.25">
      <c r="A103" s="6">
        <f t="shared" si="45"/>
        <v>95</v>
      </c>
      <c r="B103" s="84">
        <v>1961</v>
      </c>
      <c r="C103" s="14" t="s">
        <v>495</v>
      </c>
      <c r="D103" s="15">
        <v>3000000</v>
      </c>
      <c r="E103" s="7"/>
      <c r="F103" s="7">
        <f t="shared" si="52"/>
        <v>3000000</v>
      </c>
      <c r="G103" s="7"/>
      <c r="H103" s="7"/>
      <c r="I103" s="7"/>
      <c r="J103" s="7"/>
      <c r="K103" s="7"/>
      <c r="L103" s="7"/>
      <c r="M103" s="15"/>
      <c r="N103" s="15">
        <v>3000000</v>
      </c>
      <c r="O103" s="7">
        <f t="shared" si="19"/>
        <v>0</v>
      </c>
      <c r="P103" s="7"/>
      <c r="Q103" s="7"/>
      <c r="R103" s="7"/>
      <c r="S103" s="7"/>
      <c r="T103" s="15"/>
      <c r="U103" s="15">
        <f t="shared" si="53"/>
        <v>3000000</v>
      </c>
      <c r="V103" s="15">
        <f t="shared" si="51"/>
        <v>3000000</v>
      </c>
      <c r="W103" s="7"/>
      <c r="X103" s="7"/>
      <c r="Y103" s="14"/>
      <c r="Z103" s="6">
        <v>742000</v>
      </c>
      <c r="AA103" s="13"/>
      <c r="AB103" s="17"/>
      <c r="AC103" s="17"/>
      <c r="AD103" s="17"/>
      <c r="AE103" s="17"/>
      <c r="AF103" s="167"/>
      <c r="AG103" s="167"/>
      <c r="AH103" s="7">
        <f t="shared" si="36"/>
        <v>3000000</v>
      </c>
    </row>
    <row r="104" spans="1:38" ht="15.6" x14ac:dyDescent="0.25">
      <c r="A104" s="6">
        <f t="shared" si="45"/>
        <v>96</v>
      </c>
      <c r="B104" s="84">
        <v>1962</v>
      </c>
      <c r="C104" s="14" t="s">
        <v>496</v>
      </c>
      <c r="D104" s="15">
        <v>20000000</v>
      </c>
      <c r="E104" s="7"/>
      <c r="F104" s="7">
        <f t="shared" si="52"/>
        <v>20000000</v>
      </c>
      <c r="G104" s="7"/>
      <c r="H104" s="7"/>
      <c r="I104" s="7"/>
      <c r="J104" s="7"/>
      <c r="K104" s="7"/>
      <c r="L104" s="7"/>
      <c r="M104" s="15"/>
      <c r="N104" s="15">
        <v>2000000</v>
      </c>
      <c r="O104" s="7">
        <f t="shared" si="19"/>
        <v>18000000</v>
      </c>
      <c r="P104" s="7"/>
      <c r="Q104" s="7"/>
      <c r="R104" s="7"/>
      <c r="S104" s="7"/>
      <c r="T104" s="15"/>
      <c r="U104" s="15">
        <f t="shared" si="53"/>
        <v>2000000</v>
      </c>
      <c r="V104" s="15">
        <f t="shared" si="51"/>
        <v>2000000</v>
      </c>
      <c r="W104" s="7"/>
      <c r="X104" s="7"/>
      <c r="Y104" s="14"/>
      <c r="Z104" s="6">
        <v>742000</v>
      </c>
      <c r="AA104" s="13"/>
      <c r="AB104" s="17"/>
      <c r="AC104" s="17"/>
      <c r="AD104" s="17"/>
      <c r="AE104" s="17"/>
      <c r="AF104" s="167"/>
      <c r="AG104" s="167"/>
      <c r="AH104" s="7">
        <f t="shared" si="36"/>
        <v>2000000</v>
      </c>
    </row>
    <row r="105" spans="1:38" ht="15.6" x14ac:dyDescent="0.25">
      <c r="A105" s="6">
        <f t="shared" si="45"/>
        <v>97</v>
      </c>
      <c r="B105" s="84">
        <v>1963</v>
      </c>
      <c r="C105" s="14" t="s">
        <v>544</v>
      </c>
      <c r="D105" s="15">
        <v>2800000</v>
      </c>
      <c r="E105" s="7"/>
      <c r="F105" s="7">
        <f t="shared" si="52"/>
        <v>2800000</v>
      </c>
      <c r="G105" s="7"/>
      <c r="H105" s="7"/>
      <c r="I105" s="7"/>
      <c r="J105" s="7"/>
      <c r="K105" s="7"/>
      <c r="L105" s="7"/>
      <c r="M105" s="15"/>
      <c r="N105" s="15">
        <v>2800000</v>
      </c>
      <c r="O105" s="7">
        <f t="shared" si="19"/>
        <v>0</v>
      </c>
      <c r="P105" s="7"/>
      <c r="Q105" s="7"/>
      <c r="R105" s="7"/>
      <c r="S105" s="7"/>
      <c r="T105" s="15"/>
      <c r="U105" s="15">
        <f t="shared" si="53"/>
        <v>2800000</v>
      </c>
      <c r="V105" s="15">
        <f t="shared" si="51"/>
        <v>309655</v>
      </c>
      <c r="W105" s="7"/>
      <c r="X105" s="7"/>
      <c r="Y105" s="15">
        <f>1800000*1.1*1.075*1.17</f>
        <v>2490345</v>
      </c>
      <c r="Z105" s="6">
        <v>742000</v>
      </c>
      <c r="AA105" s="13"/>
      <c r="AB105" s="17"/>
      <c r="AC105" s="17"/>
      <c r="AD105" s="17"/>
      <c r="AE105" s="17"/>
      <c r="AF105" s="167"/>
      <c r="AG105" s="167"/>
      <c r="AH105" s="7">
        <f t="shared" si="36"/>
        <v>309655</v>
      </c>
    </row>
    <row r="106" spans="1:38" ht="15.6" x14ac:dyDescent="0.25">
      <c r="A106" s="6">
        <f t="shared" si="45"/>
        <v>98</v>
      </c>
      <c r="B106" s="84">
        <v>1964</v>
      </c>
      <c r="C106" s="14" t="s">
        <v>497</v>
      </c>
      <c r="D106" s="15">
        <v>10000000</v>
      </c>
      <c r="E106" s="7"/>
      <c r="F106" s="7">
        <f t="shared" si="52"/>
        <v>10000000</v>
      </c>
      <c r="G106" s="7"/>
      <c r="H106" s="7"/>
      <c r="I106" s="7"/>
      <c r="J106" s="7"/>
      <c r="K106" s="7"/>
      <c r="L106" s="7"/>
      <c r="M106" s="15"/>
      <c r="N106" s="15">
        <v>650000</v>
      </c>
      <c r="O106" s="7">
        <f>D106-L106-M106-N106</f>
        <v>9350000</v>
      </c>
      <c r="P106" s="7"/>
      <c r="Q106" s="7"/>
      <c r="R106" s="7"/>
      <c r="S106" s="7"/>
      <c r="T106" s="15"/>
      <c r="U106" s="15">
        <f t="shared" si="53"/>
        <v>650000</v>
      </c>
      <c r="V106" s="15">
        <f t="shared" si="51"/>
        <v>650000</v>
      </c>
      <c r="W106" s="7"/>
      <c r="X106" s="7"/>
      <c r="Y106" s="14"/>
      <c r="Z106" s="6">
        <v>810000</v>
      </c>
      <c r="AA106" s="13"/>
      <c r="AB106" s="17"/>
      <c r="AC106" s="17"/>
      <c r="AD106" s="17"/>
      <c r="AE106" s="17"/>
      <c r="AF106" s="167"/>
      <c r="AG106" s="167"/>
      <c r="AH106" s="7">
        <f t="shared" si="36"/>
        <v>650000</v>
      </c>
    </row>
    <row r="107" spans="1:38" ht="27.6" x14ac:dyDescent="0.25">
      <c r="A107" s="6">
        <f t="shared" si="45"/>
        <v>99</v>
      </c>
      <c r="B107" s="84">
        <v>1965</v>
      </c>
      <c r="C107" s="14" t="s">
        <v>754</v>
      </c>
      <c r="D107" s="15">
        <v>35000000</v>
      </c>
      <c r="E107" s="7"/>
      <c r="F107" s="7">
        <f t="shared" si="52"/>
        <v>35000000</v>
      </c>
      <c r="G107" s="7"/>
      <c r="H107" s="7"/>
      <c r="I107" s="7"/>
      <c r="J107" s="7"/>
      <c r="K107" s="7"/>
      <c r="L107" s="7"/>
      <c r="M107" s="15"/>
      <c r="N107" s="15">
        <v>1000000</v>
      </c>
      <c r="O107" s="7">
        <f>D107-L107-M107-N107</f>
        <v>34000000</v>
      </c>
      <c r="P107" s="7"/>
      <c r="Q107" s="7"/>
      <c r="R107" s="7"/>
      <c r="S107" s="7"/>
      <c r="T107" s="15"/>
      <c r="U107" s="15">
        <f t="shared" si="53"/>
        <v>1000000</v>
      </c>
      <c r="V107" s="15">
        <f t="shared" si="51"/>
        <v>1000000</v>
      </c>
      <c r="W107" s="7"/>
      <c r="X107" s="7"/>
      <c r="Y107" s="14"/>
      <c r="Z107" s="6">
        <v>810000</v>
      </c>
      <c r="AA107" s="13"/>
      <c r="AB107" s="17"/>
      <c r="AC107" s="17"/>
      <c r="AD107" s="17"/>
      <c r="AE107" s="17"/>
      <c r="AF107" s="372"/>
      <c r="AG107" s="372"/>
      <c r="AH107" s="371">
        <f t="shared" si="36"/>
        <v>1000000</v>
      </c>
    </row>
    <row r="108" spans="1:38" s="376" customFormat="1" x14ac:dyDescent="0.25">
      <c r="A108" s="3"/>
      <c r="B108" s="78"/>
      <c r="C108" s="239" t="s">
        <v>676</v>
      </c>
      <c r="D108" s="216">
        <f>SUM(D87:D107)</f>
        <v>656316000</v>
      </c>
      <c r="E108" s="216">
        <f t="shared" ref="E108:AH108" si="54">SUM(E87:E107)</f>
        <v>344766000</v>
      </c>
      <c r="F108" s="216">
        <f t="shared" si="54"/>
        <v>311550000</v>
      </c>
      <c r="G108" s="216">
        <f t="shared" si="54"/>
        <v>33668220</v>
      </c>
      <c r="H108" s="216">
        <f t="shared" si="54"/>
        <v>4599291.8</v>
      </c>
      <c r="I108" s="216">
        <f t="shared" si="54"/>
        <v>3993377.8400000003</v>
      </c>
      <c r="J108" s="216">
        <f t="shared" si="54"/>
        <v>1347250.48</v>
      </c>
      <c r="K108" s="216">
        <f t="shared" si="54"/>
        <v>5340628.32</v>
      </c>
      <c r="L108" s="216">
        <f t="shared" si="54"/>
        <v>9939920.1199999992</v>
      </c>
      <c r="M108" s="216">
        <f t="shared" si="54"/>
        <v>69410593.879999995</v>
      </c>
      <c r="N108" s="216">
        <f t="shared" si="54"/>
        <v>164425000</v>
      </c>
      <c r="O108" s="216">
        <f t="shared" si="54"/>
        <v>412540486</v>
      </c>
      <c r="P108" s="216">
        <f t="shared" si="54"/>
        <v>23728299.880000003</v>
      </c>
      <c r="Q108" s="216">
        <f t="shared" si="54"/>
        <v>38177556</v>
      </c>
      <c r="R108" s="216">
        <f t="shared" si="54"/>
        <v>9016000</v>
      </c>
      <c r="S108" s="216">
        <f t="shared" si="54"/>
        <v>47193556</v>
      </c>
      <c r="T108" s="216">
        <f t="shared" si="54"/>
        <v>1511262</v>
      </c>
      <c r="U108" s="216">
        <f t="shared" si="54"/>
        <v>162913738</v>
      </c>
      <c r="V108" s="216">
        <f t="shared" si="54"/>
        <v>54983393</v>
      </c>
      <c r="W108" s="216">
        <f t="shared" si="54"/>
        <v>0</v>
      </c>
      <c r="X108" s="216">
        <f t="shared" si="54"/>
        <v>0</v>
      </c>
      <c r="Y108" s="216">
        <f t="shared" si="54"/>
        <v>107930345</v>
      </c>
      <c r="Z108" s="216"/>
      <c r="AA108" s="375">
        <f t="shared" si="54"/>
        <v>0</v>
      </c>
      <c r="AB108" s="375">
        <f t="shared" si="54"/>
        <v>0</v>
      </c>
      <c r="AC108" s="375">
        <f t="shared" si="54"/>
        <v>0</v>
      </c>
      <c r="AD108" s="375">
        <f t="shared" si="54"/>
        <v>0</v>
      </c>
      <c r="AE108" s="375">
        <f t="shared" si="54"/>
        <v>0</v>
      </c>
      <c r="AF108" s="375">
        <f t="shared" si="54"/>
        <v>0</v>
      </c>
      <c r="AG108" s="375">
        <f t="shared" si="54"/>
        <v>0</v>
      </c>
      <c r="AH108" s="375">
        <f t="shared" si="54"/>
        <v>54983393</v>
      </c>
    </row>
    <row r="109" spans="1:38" s="159" customFormat="1" ht="15.6" x14ac:dyDescent="0.25">
      <c r="A109" s="3"/>
      <c r="B109" s="78"/>
      <c r="C109" s="239"/>
      <c r="D109" s="216"/>
      <c r="E109" s="157"/>
      <c r="F109" s="157"/>
      <c r="G109" s="157"/>
      <c r="H109" s="157"/>
      <c r="I109" s="157"/>
      <c r="J109" s="157"/>
      <c r="K109" s="157"/>
      <c r="L109" s="157"/>
      <c r="M109" s="216"/>
      <c r="N109" s="216"/>
      <c r="O109" s="157"/>
      <c r="P109" s="157"/>
      <c r="Q109" s="157"/>
      <c r="R109" s="157"/>
      <c r="S109" s="157"/>
      <c r="T109" s="216"/>
      <c r="U109" s="216"/>
      <c r="V109" s="216"/>
      <c r="W109" s="157"/>
      <c r="X109" s="157"/>
      <c r="Y109" s="216"/>
      <c r="Z109" s="373"/>
      <c r="AA109" s="13"/>
      <c r="AB109" s="158"/>
      <c r="AC109" s="158"/>
      <c r="AD109" s="158"/>
      <c r="AE109" s="158"/>
      <c r="AF109" s="374"/>
      <c r="AG109" s="374"/>
      <c r="AH109" s="57">
        <f>V109-AG109</f>
        <v>0</v>
      </c>
    </row>
    <row r="110" spans="1:38" ht="15.6" x14ac:dyDescent="0.25">
      <c r="A110" s="78">
        <f>A107</f>
        <v>99</v>
      </c>
      <c r="B110" s="11" t="s">
        <v>102</v>
      </c>
      <c r="C110" s="241" t="s">
        <v>219</v>
      </c>
      <c r="D110" s="217">
        <f>D108+D84</f>
        <v>1849788405</v>
      </c>
      <c r="E110" s="217">
        <f t="shared" ref="E110:Y110" si="55">E108+E84</f>
        <v>1457008347</v>
      </c>
      <c r="F110" s="217">
        <f t="shared" si="55"/>
        <v>392780058</v>
      </c>
      <c r="G110" s="217">
        <f t="shared" si="55"/>
        <v>571732958</v>
      </c>
      <c r="H110" s="217">
        <f t="shared" si="55"/>
        <v>419055069.12</v>
      </c>
      <c r="I110" s="217">
        <f t="shared" si="55"/>
        <v>48972870.70000001</v>
      </c>
      <c r="J110" s="217">
        <f t="shared" si="55"/>
        <v>7502690.7400000002</v>
      </c>
      <c r="K110" s="217">
        <f t="shared" si="55"/>
        <v>56475561.439999983</v>
      </c>
      <c r="L110" s="217">
        <f t="shared" si="55"/>
        <v>475530630.56000006</v>
      </c>
      <c r="M110" s="217">
        <f t="shared" si="55"/>
        <v>251630013.43999994</v>
      </c>
      <c r="N110" s="217">
        <f t="shared" si="55"/>
        <v>333402275</v>
      </c>
      <c r="O110" s="217">
        <f t="shared" si="55"/>
        <v>789225486</v>
      </c>
      <c r="P110" s="217">
        <f t="shared" si="55"/>
        <v>96202327.440000027</v>
      </c>
      <c r="Q110" s="217">
        <f t="shared" si="55"/>
        <v>113321145</v>
      </c>
      <c r="R110" s="217">
        <f t="shared" si="55"/>
        <v>43852000</v>
      </c>
      <c r="S110" s="217">
        <f t="shared" si="55"/>
        <v>157173145</v>
      </c>
      <c r="T110" s="217">
        <f t="shared" si="55"/>
        <v>1745459</v>
      </c>
      <c r="U110" s="217">
        <f t="shared" si="55"/>
        <v>331656816</v>
      </c>
      <c r="V110" s="217">
        <f t="shared" si="55"/>
        <v>137680940.30000001</v>
      </c>
      <c r="W110" s="217">
        <f t="shared" si="55"/>
        <v>6500000</v>
      </c>
      <c r="X110" s="217">
        <f t="shared" si="55"/>
        <v>0</v>
      </c>
      <c r="Y110" s="217">
        <f t="shared" si="55"/>
        <v>187475875.69999999</v>
      </c>
      <c r="Z110" s="11"/>
      <c r="AA110" s="17"/>
      <c r="AF110" s="167"/>
      <c r="AG110" s="217" t="e">
        <f>#REF!+#REF!</f>
        <v>#REF!</v>
      </c>
      <c r="AH110" s="217" t="e">
        <f>#REF!+#REF!</f>
        <v>#REF!</v>
      </c>
    </row>
    <row r="111" spans="1:38" ht="15.6" x14ac:dyDescent="0.25">
      <c r="A111" s="78"/>
      <c r="B111" s="11"/>
      <c r="C111" s="241"/>
      <c r="D111" s="217"/>
      <c r="E111" s="12"/>
      <c r="F111" s="12"/>
      <c r="G111" s="12"/>
      <c r="H111" s="12"/>
      <c r="I111" s="12"/>
      <c r="J111" s="12"/>
      <c r="K111" s="12"/>
      <c r="L111" s="12"/>
      <c r="M111" s="217"/>
      <c r="N111" s="217"/>
      <c r="O111" s="12"/>
      <c r="P111" s="12"/>
      <c r="Q111" s="12"/>
      <c r="R111" s="12"/>
      <c r="S111" s="12"/>
      <c r="T111" s="217"/>
      <c r="U111" s="217"/>
      <c r="V111" s="217"/>
      <c r="W111" s="12"/>
      <c r="X111" s="12"/>
      <c r="Y111" s="217"/>
      <c r="Z111" s="11"/>
      <c r="AA111" s="17"/>
      <c r="AH111" s="7">
        <f>V111-AG111</f>
        <v>0</v>
      </c>
    </row>
    <row r="112" spans="1:38" ht="15.6" x14ac:dyDescent="0.25">
      <c r="A112" s="155"/>
      <c r="B112" s="67"/>
      <c r="C112" s="242"/>
      <c r="D112" s="218"/>
      <c r="E112" s="156"/>
      <c r="F112" s="156"/>
      <c r="G112" s="156"/>
      <c r="H112" s="156"/>
      <c r="I112" s="156"/>
      <c r="J112" s="156"/>
      <c r="K112" s="156"/>
      <c r="L112" s="156"/>
      <c r="M112" s="218"/>
      <c r="N112" s="218"/>
      <c r="O112" s="156"/>
      <c r="P112" s="156"/>
      <c r="Q112" s="156"/>
      <c r="R112" s="156"/>
      <c r="S112" s="156"/>
      <c r="T112" s="218"/>
      <c r="U112" s="218"/>
      <c r="V112" s="218"/>
      <c r="W112" s="156"/>
      <c r="X112" s="156"/>
      <c r="Y112" s="218"/>
      <c r="Z112" s="67"/>
      <c r="AA112" s="17"/>
    </row>
    <row r="113" spans="1:34" ht="15.6" x14ac:dyDescent="0.25">
      <c r="A113" s="155"/>
      <c r="B113" s="67"/>
      <c r="C113" s="242"/>
      <c r="D113" s="218"/>
      <c r="E113" s="156"/>
      <c r="F113" s="156"/>
      <c r="G113" s="156"/>
      <c r="H113" s="156"/>
      <c r="I113" s="156"/>
      <c r="J113" s="156"/>
      <c r="K113" s="156"/>
      <c r="L113" s="156"/>
      <c r="M113" s="218"/>
      <c r="N113" s="218"/>
      <c r="O113" s="156"/>
      <c r="P113" s="156"/>
      <c r="Q113" s="156"/>
      <c r="R113" s="156"/>
      <c r="S113" s="156"/>
      <c r="T113" s="218"/>
      <c r="U113" s="218"/>
      <c r="V113" s="218"/>
      <c r="W113" s="156"/>
      <c r="X113" s="156"/>
      <c r="Y113" s="218"/>
      <c r="Z113" s="67"/>
      <c r="AA113" s="17"/>
      <c r="AC113" s="19"/>
      <c r="AH113" s="21">
        <v>252353559</v>
      </c>
    </row>
    <row r="114" spans="1:34" hidden="1" x14ac:dyDescent="0.25">
      <c r="B114" s="17"/>
      <c r="C114" s="76"/>
      <c r="D114" s="235"/>
      <c r="E114" s="18"/>
      <c r="F114" s="18"/>
      <c r="G114" s="18"/>
      <c r="H114" s="18"/>
      <c r="I114" s="18"/>
      <c r="J114" s="18"/>
      <c r="K114" s="18"/>
      <c r="L114" s="18"/>
      <c r="M114" s="235"/>
      <c r="N114" s="235"/>
      <c r="O114" s="18"/>
      <c r="P114" s="18"/>
      <c r="Q114" s="18"/>
      <c r="R114" s="18"/>
      <c r="S114" s="18"/>
      <c r="T114" s="235"/>
      <c r="U114" s="76"/>
      <c r="V114" s="76"/>
      <c r="W114" s="17"/>
      <c r="X114" s="17"/>
      <c r="Y114" s="235"/>
      <c r="Z114" s="17"/>
      <c r="AA114" s="17"/>
      <c r="AC114" s="21" t="s">
        <v>530</v>
      </c>
      <c r="AH114" s="19">
        <f>AH113-V110</f>
        <v>114672618.69999999</v>
      </c>
    </row>
    <row r="115" spans="1:34" hidden="1" x14ac:dyDescent="0.25">
      <c r="B115" s="17"/>
      <c r="C115" s="76"/>
      <c r="D115" s="235"/>
      <c r="E115" s="18"/>
      <c r="F115" s="18"/>
      <c r="G115" s="18"/>
      <c r="H115" s="18"/>
      <c r="I115" s="18"/>
      <c r="J115" s="18"/>
      <c r="K115" s="18"/>
      <c r="L115" s="73">
        <f>K110+H110</f>
        <v>475530630.56</v>
      </c>
      <c r="M115" s="238">
        <f>P110+S110-T110</f>
        <v>251630013.44000003</v>
      </c>
      <c r="N115" s="235"/>
      <c r="O115" s="18"/>
      <c r="P115" s="68">
        <f>G110-L110</f>
        <v>96202327.439999938</v>
      </c>
      <c r="Q115" s="18"/>
      <c r="R115" s="18"/>
      <c r="S115" s="18"/>
      <c r="T115" s="238">
        <f>P110+S110-M110</f>
        <v>1745459.0000000894</v>
      </c>
      <c r="U115" s="219">
        <f>N110-T110</f>
        <v>331656816</v>
      </c>
      <c r="V115" s="237"/>
      <c r="W115" s="55"/>
      <c r="X115" s="55"/>
      <c r="Z115" s="17"/>
      <c r="AB115" s="17">
        <v>3550</v>
      </c>
      <c r="AC115" s="21" t="s">
        <v>405</v>
      </c>
    </row>
    <row r="116" spans="1:34" hidden="1" x14ac:dyDescent="0.25">
      <c r="B116" s="17"/>
      <c r="C116" s="76"/>
      <c r="D116" s="235"/>
      <c r="E116" s="18"/>
      <c r="F116" s="18"/>
      <c r="G116" s="18"/>
      <c r="H116" s="18"/>
      <c r="I116" s="18"/>
      <c r="J116" s="18"/>
      <c r="K116" s="18"/>
      <c r="L116" s="18"/>
      <c r="M116" s="235"/>
      <c r="N116" s="235"/>
      <c r="O116" s="18"/>
      <c r="Q116" s="18"/>
      <c r="R116" s="18"/>
      <c r="S116" s="18"/>
      <c r="U116" s="76"/>
      <c r="V116" s="76"/>
      <c r="W116" s="17"/>
      <c r="X116" s="17"/>
      <c r="Z116" s="17"/>
      <c r="AB116" s="17">
        <v>850</v>
      </c>
      <c r="AC116" s="21" t="s">
        <v>405</v>
      </c>
    </row>
    <row r="117" spans="1:34" hidden="1" x14ac:dyDescent="0.25">
      <c r="M117" s="77" t="s">
        <v>413</v>
      </c>
      <c r="N117" s="236" t="s">
        <v>422</v>
      </c>
      <c r="O117" s="19" t="s">
        <v>411</v>
      </c>
      <c r="P117" s="19">
        <f>'[1]החברה לפיתוח '!$AY$58</f>
        <v>54712469</v>
      </c>
      <c r="Q117" s="68">
        <f>'[4]החברה לפיתוח '!$AY$57</f>
        <v>54712469</v>
      </c>
      <c r="AB117" s="21">
        <v>850</v>
      </c>
      <c r="AC117" s="21">
        <v>1375</v>
      </c>
    </row>
    <row r="118" spans="1:34" hidden="1" x14ac:dyDescent="0.25">
      <c r="N118" s="77" t="s">
        <v>416</v>
      </c>
      <c r="O118" s="21" t="s">
        <v>417</v>
      </c>
      <c r="P118" s="21"/>
      <c r="Q118" s="19">
        <v>1300000</v>
      </c>
      <c r="X118" s="19">
        <f>405208078-U110</f>
        <v>73551262</v>
      </c>
      <c r="AB118" s="21">
        <v>125</v>
      </c>
      <c r="AC118" s="21">
        <v>1616</v>
      </c>
    </row>
    <row r="119" spans="1:34" hidden="1" x14ac:dyDescent="0.25">
      <c r="N119" s="77" t="s">
        <v>416</v>
      </c>
      <c r="O119" s="21" t="s">
        <v>424</v>
      </c>
      <c r="P119" s="21"/>
      <c r="Q119" s="19">
        <f>Q67</f>
        <v>2401120</v>
      </c>
      <c r="AB119" s="21">
        <f>SUM(AB115:AB118)</f>
        <v>5375</v>
      </c>
      <c r="AC119" s="21" t="s">
        <v>248</v>
      </c>
    </row>
    <row r="120" spans="1:34" hidden="1" x14ac:dyDescent="0.25">
      <c r="N120" s="77"/>
      <c r="O120" s="21"/>
      <c r="P120" s="19">
        <f>'[1]תבל '!$AY$86</f>
        <v>3701120</v>
      </c>
      <c r="Q120" s="68">
        <f>SUM(Q118:Q119)</f>
        <v>3701120</v>
      </c>
      <c r="X120" s="21">
        <f>9250000+16000000+12000000+27660000</f>
        <v>64910000</v>
      </c>
      <c r="AB120" s="21">
        <v>-200</v>
      </c>
      <c r="AC120" s="21" t="s">
        <v>538</v>
      </c>
    </row>
    <row r="121" spans="1:34" hidden="1" x14ac:dyDescent="0.25">
      <c r="N121" s="236" t="s">
        <v>414</v>
      </c>
      <c r="O121" s="19" t="s">
        <v>423</v>
      </c>
      <c r="Q121" s="19">
        <v>2830000</v>
      </c>
      <c r="AB121" s="21">
        <f>SUM(AB119:AB120)</f>
        <v>5175</v>
      </c>
    </row>
    <row r="122" spans="1:34" hidden="1" x14ac:dyDescent="0.25">
      <c r="O122" s="19" t="s">
        <v>418</v>
      </c>
      <c r="Q122" s="19">
        <v>14000000</v>
      </c>
    </row>
    <row r="123" spans="1:34" hidden="1" x14ac:dyDescent="0.25">
      <c r="L123" s="202" t="s">
        <v>542</v>
      </c>
      <c r="O123" s="19" t="s">
        <v>415</v>
      </c>
      <c r="Q123" s="19">
        <v>24177556</v>
      </c>
      <c r="AB123" s="19">
        <f>U110-517118078</f>
        <v>-185461262</v>
      </c>
    </row>
    <row r="124" spans="1:34" hidden="1" x14ac:dyDescent="0.25">
      <c r="O124" s="19" t="s">
        <v>420</v>
      </c>
      <c r="Q124" s="19">
        <v>7300000</v>
      </c>
    </row>
    <row r="125" spans="1:34" hidden="1" x14ac:dyDescent="0.25">
      <c r="O125" s="19" t="s">
        <v>421</v>
      </c>
      <c r="Q125" s="19">
        <v>500000</v>
      </c>
      <c r="AC125" s="19">
        <f>471068078+850000+125000-200000</f>
        <v>471843078</v>
      </c>
    </row>
    <row r="126" spans="1:34" hidden="1" x14ac:dyDescent="0.25">
      <c r="O126" s="19" t="s">
        <v>425</v>
      </c>
      <c r="Q126" s="19">
        <v>6100000</v>
      </c>
    </row>
    <row r="127" spans="1:34" hidden="1" x14ac:dyDescent="0.25">
      <c r="P127" s="19">
        <f>'[1]הנדסה '!$AZ$208</f>
        <v>54907556</v>
      </c>
      <c r="Q127" s="68">
        <f>SUM(Q121:Q126)</f>
        <v>54907556</v>
      </c>
      <c r="AC127" s="19" t="e">
        <f>#REF!+#REF!</f>
        <v>#REF!</v>
      </c>
    </row>
    <row r="128" spans="1:34" hidden="1" x14ac:dyDescent="0.25">
      <c r="O128" s="19" t="s">
        <v>248</v>
      </c>
      <c r="P128" s="19">
        <f>SUM(P117:P127)</f>
        <v>113321145</v>
      </c>
      <c r="Q128" s="72">
        <f>Q127+Q120+Q117</f>
        <v>113321145</v>
      </c>
      <c r="R128" s="19">
        <f>Q110-Q128</f>
        <v>0</v>
      </c>
    </row>
    <row r="129" spans="14:20" hidden="1" x14ac:dyDescent="0.25">
      <c r="N129" s="77"/>
      <c r="O129" s="21"/>
      <c r="Q129" s="19" t="s">
        <v>419</v>
      </c>
    </row>
    <row r="130" spans="14:20" hidden="1" x14ac:dyDescent="0.25">
      <c r="N130" s="236" t="s">
        <v>426</v>
      </c>
      <c r="P130" s="21" t="s">
        <v>413</v>
      </c>
      <c r="Q130" s="21"/>
      <c r="R130" s="19">
        <f>'[1]ריכוז תקציבים מעבר לתוכנית 31.8'!$AD$59</f>
        <v>41652000</v>
      </c>
    </row>
    <row r="131" spans="14:20" hidden="1" x14ac:dyDescent="0.25">
      <c r="N131" s="236" t="s">
        <v>488</v>
      </c>
      <c r="O131" s="19" t="s">
        <v>529</v>
      </c>
      <c r="P131" s="21"/>
      <c r="Q131" s="21"/>
      <c r="R131" s="19">
        <f>-50000-250000</f>
        <v>-300000</v>
      </c>
    </row>
    <row r="132" spans="14:20" hidden="1" x14ac:dyDescent="0.25">
      <c r="N132" s="236" t="s">
        <v>414</v>
      </c>
      <c r="O132" s="19" t="s">
        <v>427</v>
      </c>
      <c r="Q132" s="19">
        <v>800000</v>
      </c>
      <c r="R132" s="21"/>
    </row>
    <row r="133" spans="14:20" hidden="1" x14ac:dyDescent="0.25">
      <c r="O133" s="19" t="s">
        <v>428</v>
      </c>
      <c r="Q133" s="19">
        <v>300000</v>
      </c>
      <c r="R133" s="21"/>
    </row>
    <row r="134" spans="14:20" hidden="1" x14ac:dyDescent="0.25">
      <c r="O134" s="19" t="s">
        <v>423</v>
      </c>
      <c r="Q134" s="19">
        <v>1200000</v>
      </c>
      <c r="R134" s="21"/>
    </row>
    <row r="135" spans="14:20" hidden="1" x14ac:dyDescent="0.25">
      <c r="O135" s="19" t="s">
        <v>429</v>
      </c>
      <c r="Q135" s="19">
        <v>200000</v>
      </c>
      <c r="R135" s="21"/>
    </row>
    <row r="136" spans="14:20" hidden="1" x14ac:dyDescent="0.25">
      <c r="R136" s="19">
        <f>SUM(Q132:Q135)</f>
        <v>2500000</v>
      </c>
    </row>
    <row r="137" spans="14:20" hidden="1" x14ac:dyDescent="0.25">
      <c r="O137" s="19" t="s">
        <v>248</v>
      </c>
      <c r="R137" s="72">
        <f>R130+R131+R136</f>
        <v>43852000</v>
      </c>
      <c r="S137" s="202">
        <f>R110-R137</f>
        <v>0</v>
      </c>
    </row>
    <row r="138" spans="14:20" hidden="1" x14ac:dyDescent="0.25">
      <c r="S138" s="19" t="s">
        <v>520</v>
      </c>
      <c r="T138" s="236" t="s">
        <v>528</v>
      </c>
    </row>
    <row r="139" spans="14:20" hidden="1" x14ac:dyDescent="0.25">
      <c r="S139" s="19" t="s">
        <v>558</v>
      </c>
    </row>
    <row r="140" spans="14:20" hidden="1" x14ac:dyDescent="0.25"/>
    <row r="141" spans="14:20" hidden="1" x14ac:dyDescent="0.25">
      <c r="O141" s="19" t="s">
        <v>514</v>
      </c>
      <c r="Q141" s="150">
        <f>'[3]תבל '!$AZ$84+'[3]החברה לפיתוח '!$AZ$57</f>
        <v>2800000</v>
      </c>
    </row>
    <row r="142" spans="14:20" hidden="1" x14ac:dyDescent="0.25">
      <c r="O142" s="19" t="s">
        <v>515</v>
      </c>
      <c r="Q142" s="198">
        <f>'[5]הנדסה '!$BG$209+'[5]החברה לפיתוח '!$BF$57+'[5]תבל '!$BC$85</f>
        <v>4901120</v>
      </c>
    </row>
    <row r="143" spans="14:20" hidden="1" x14ac:dyDescent="0.25">
      <c r="O143" s="19" t="s">
        <v>519</v>
      </c>
      <c r="Q143" s="19">
        <v>500000</v>
      </c>
    </row>
    <row r="144" spans="14:20" hidden="1" x14ac:dyDescent="0.25">
      <c r="Q144" s="19">
        <f>SUM(Q141:Q143)</f>
        <v>8201120</v>
      </c>
    </row>
    <row r="145" spans="15:18" hidden="1" x14ac:dyDescent="0.25">
      <c r="O145" s="19" t="s">
        <v>518</v>
      </c>
      <c r="R145" s="152">
        <v>4700000</v>
      </c>
    </row>
    <row r="146" spans="15:18" hidden="1" x14ac:dyDescent="0.25">
      <c r="O146" s="19" t="s">
        <v>517</v>
      </c>
      <c r="R146" s="198">
        <v>42852000</v>
      </c>
    </row>
    <row r="148" spans="15:18" x14ac:dyDescent="0.25">
      <c r="R148" s="19">
        <f>SUM(R145:R147)</f>
        <v>47552000</v>
      </c>
    </row>
  </sheetData>
  <sheetProtection algorithmName="SHA-512" hashValue="JgBKfJ2hu9uc3yiLxLJSKNNFaOvJB1vwxGcF59UqxyX+Wb3KzyLPEzbk1VePrLH2WSvnbLoDoCrxjZUHeQGrCw==" saltValue="CdEBa41mwz+UWFzzScDqbQ==" spinCount="100000" sheet="1" formatCells="0" formatColumns="0" formatRows="0" insertColumns="0" insertRows="0" insertHyperlinks="0" deleteColumns="0" deleteRows="0" sort="0" autoFilter="0" pivotTables="0"/>
  <sortState ref="A7:AC73">
    <sortCondition ref="B7:B73"/>
  </sortState>
  <mergeCells count="1">
    <mergeCell ref="A2:Y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8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2" spans="1:17" ht="21" x14ac:dyDescent="0.25">
      <c r="E2" s="255"/>
    </row>
    <row r="3" spans="1:17" ht="21" x14ac:dyDescent="0.25">
      <c r="A3" s="258"/>
      <c r="C3" s="255" t="s">
        <v>266</v>
      </c>
      <c r="D3" s="258"/>
      <c r="E3" s="258"/>
      <c r="F3" s="258"/>
      <c r="G3" s="258"/>
      <c r="H3" s="258"/>
      <c r="I3" s="258"/>
      <c r="J3" s="258"/>
      <c r="K3" s="258"/>
      <c r="L3" s="258"/>
    </row>
    <row r="4" spans="1:17" ht="21.6" thickBot="1" x14ac:dyDescent="0.3">
      <c r="A4" s="258"/>
      <c r="C4" s="255"/>
      <c r="D4" s="258"/>
      <c r="E4" s="258"/>
      <c r="F4" s="258"/>
      <c r="G4" s="258"/>
      <c r="H4" s="258"/>
      <c r="I4" s="258"/>
      <c r="J4" s="258"/>
      <c r="K4" s="258"/>
      <c r="L4" s="258"/>
    </row>
    <row r="5" spans="1:17" ht="16.2" thickBot="1" x14ac:dyDescent="0.3">
      <c r="A5" s="258"/>
      <c r="B5" s="343" t="s">
        <v>588</v>
      </c>
      <c r="C5" s="258" t="s">
        <v>719</v>
      </c>
      <c r="D5" s="258"/>
      <c r="E5" s="258"/>
      <c r="F5" s="360">
        <f>'פרוט תבל'!U82</f>
        <v>24019000</v>
      </c>
      <c r="I5" s="258"/>
      <c r="J5" s="258"/>
      <c r="K5" s="258"/>
      <c r="L5" s="258"/>
    </row>
    <row r="6" spans="1:17" ht="15" customHeight="1" thickBot="1" x14ac:dyDescent="0.3">
      <c r="A6" s="258"/>
      <c r="C6" s="255"/>
      <c r="D6" s="258"/>
      <c r="E6" s="258"/>
      <c r="F6" s="258"/>
      <c r="H6" s="258"/>
      <c r="I6" s="258"/>
      <c r="J6" s="258"/>
      <c r="K6" s="258"/>
      <c r="L6" s="258"/>
    </row>
    <row r="7" spans="1:17" ht="16.2" thickBot="1" x14ac:dyDescent="0.3">
      <c r="B7" s="343" t="s">
        <v>588</v>
      </c>
      <c r="C7" s="258" t="s">
        <v>721</v>
      </c>
      <c r="D7" s="258"/>
      <c r="F7" s="361">
        <f>'פרוט תבל'!A82</f>
        <v>76</v>
      </c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/>
      <c r="C8" s="258"/>
      <c r="D8" s="258"/>
      <c r="E8" s="258"/>
      <c r="F8" s="258"/>
      <c r="H8" s="258"/>
      <c r="I8" s="258"/>
      <c r="J8" s="258"/>
      <c r="K8" s="258"/>
      <c r="L8" s="258"/>
      <c r="M8" s="258"/>
      <c r="N8" s="258"/>
      <c r="O8" s="258"/>
      <c r="P8" s="258"/>
      <c r="Q8" s="258"/>
    </row>
    <row r="9" spans="1:17" ht="15.6" x14ac:dyDescent="0.25">
      <c r="B9" s="343" t="s">
        <v>588</v>
      </c>
      <c r="C9" s="258" t="s">
        <v>698</v>
      </c>
      <c r="D9" s="258"/>
      <c r="E9" s="258"/>
      <c r="F9" s="258"/>
      <c r="G9" s="258"/>
      <c r="H9" s="258"/>
      <c r="I9" s="258"/>
      <c r="J9" s="258"/>
      <c r="K9" s="258"/>
      <c r="L9" s="258"/>
    </row>
    <row r="10" spans="1:17" ht="16.2" thickBot="1" x14ac:dyDescent="0.3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D11" s="359" t="s">
        <v>571</v>
      </c>
      <c r="E11" s="353" t="s">
        <v>693</v>
      </c>
      <c r="F11" s="352" t="s">
        <v>697</v>
      </c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13</v>
      </c>
      <c r="E12" s="365">
        <f>'פרוט תבל'!V82</f>
        <v>14320000</v>
      </c>
      <c r="F12" s="362">
        <f>E12/$E$15</f>
        <v>0.5961946792122903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14</v>
      </c>
      <c r="E13" s="365">
        <f>'פרוט תבל'!W82</f>
        <v>9407000</v>
      </c>
      <c r="F13" s="362">
        <f>E13/$E$15</f>
        <v>0.39164827844623007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C14" s="343"/>
      <c r="D14" s="351" t="s">
        <v>223</v>
      </c>
      <c r="E14" s="365">
        <f>'פרוט תבל'!Y82</f>
        <v>292000</v>
      </c>
      <c r="F14" s="362">
        <f>E14/$E$15</f>
        <v>1.2157042341479662E-2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6.2" thickBot="1" x14ac:dyDescent="0.3">
      <c r="C15" s="343"/>
      <c r="D15" s="350" t="s">
        <v>248</v>
      </c>
      <c r="E15" s="366">
        <f>SUM(E12:E14)</f>
        <v>24019000</v>
      </c>
      <c r="F15" s="363">
        <f>SUM(F12:F14)</f>
        <v>1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5.6" x14ac:dyDescent="0.25">
      <c r="B17" s="343" t="s">
        <v>588</v>
      </c>
      <c r="C17" s="258" t="s">
        <v>706</v>
      </c>
      <c r="D17" s="258"/>
      <c r="F17" s="258"/>
      <c r="H17" s="265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1:17" ht="16.2" thickBot="1" x14ac:dyDescent="0.3">
      <c r="C18" s="258"/>
      <c r="D18" s="258"/>
      <c r="E18" s="258"/>
      <c r="F18" s="258"/>
      <c r="H18" s="258"/>
      <c r="I18" s="258"/>
      <c r="J18" s="258"/>
      <c r="K18" s="258"/>
      <c r="L18" s="258"/>
    </row>
    <row r="19" spans="1:17" ht="15.6" x14ac:dyDescent="0.25">
      <c r="D19" s="359" t="s">
        <v>705</v>
      </c>
      <c r="E19" s="358" t="s">
        <v>693</v>
      </c>
      <c r="F19" s="294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1:17" ht="15.6" x14ac:dyDescent="0.25">
      <c r="C20" s="343"/>
      <c r="D20" s="351" t="str">
        <f>'פרוט תבל'!C58</f>
        <v>שיפוץ ותוספת בניה בי"ס בר אילן</v>
      </c>
      <c r="E20" s="367">
        <f>'פרוט תבל'!U58</f>
        <v>7700000</v>
      </c>
      <c r="F20" s="265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  <row r="21" spans="1:17" ht="15.6" x14ac:dyDescent="0.25">
      <c r="C21" s="343"/>
      <c r="D21" s="351" t="str">
        <f>'פרוט תבל'!C53</f>
        <v>תיקון ליקויים ס. כיבוי אש בי"ס</v>
      </c>
      <c r="E21" s="367">
        <f>'פרוט תבל'!U53</f>
        <v>2980000</v>
      </c>
      <c r="F21" s="265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</row>
    <row r="22" spans="1:17" ht="15.6" x14ac:dyDescent="0.25">
      <c r="C22" s="343"/>
      <c r="D22" s="351" t="str">
        <f>'פרוט תבל'!C68</f>
        <v>מע. תאורה LED ברחבי העיר</v>
      </c>
      <c r="E22" s="367">
        <f>'פרוט תבל'!U68</f>
        <v>2500000</v>
      </c>
      <c r="F22" s="265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5.6" x14ac:dyDescent="0.25">
      <c r="C23" s="343"/>
      <c r="D23" s="351" t="str">
        <f>'פרוט תבל'!C81</f>
        <v xml:space="preserve">שיפוצים שונים מוס"ח </v>
      </c>
      <c r="E23" s="367">
        <f>'פרוט תבל'!U81</f>
        <v>2700000</v>
      </c>
      <c r="F23" s="265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1:17" ht="15.6" x14ac:dyDescent="0.25">
      <c r="C24" s="343"/>
      <c r="D24" s="370" t="str">
        <f>'פרוט תבל'!C76</f>
        <v>החלפת צ'ילרים א.ס. נ. ישראל,סמדר ,נוף ים</v>
      </c>
      <c r="E24" s="419">
        <f>'פרוט תבל'!U76</f>
        <v>1700000</v>
      </c>
      <c r="F24" s="265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  <row r="25" spans="1:17" ht="15.6" x14ac:dyDescent="0.25">
      <c r="C25" s="343"/>
      <c r="D25" s="364" t="str">
        <f>'פרוט תבל'!C81</f>
        <v xml:space="preserve">שיפוצים שונים מוס"ח </v>
      </c>
      <c r="E25" s="419">
        <f>'פרוט תבל'!U81</f>
        <v>2700000</v>
      </c>
      <c r="F25" s="265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1:17" ht="16.2" thickBot="1" x14ac:dyDescent="0.3">
      <c r="C26" s="343"/>
      <c r="D26" s="357" t="str">
        <f>'פרוט תבל'!C77</f>
        <v>התאמות נגישות מוסדות חינוך</v>
      </c>
      <c r="E26" s="368">
        <v>1500000</v>
      </c>
      <c r="F26" s="265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</row>
    <row r="27" spans="1:17" ht="15.6" x14ac:dyDescent="0.25">
      <c r="B27" s="343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</row>
    <row r="28" spans="1:17" ht="15.6" x14ac:dyDescent="0.25">
      <c r="C28" s="343" t="s">
        <v>588</v>
      </c>
      <c r="D28" s="258" t="s">
        <v>704</v>
      </c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</row>
    <row r="29" spans="1:17" ht="15.6" x14ac:dyDescent="0.25">
      <c r="A29" s="267"/>
      <c r="B29" s="257"/>
    </row>
    <row r="30" spans="1:17" ht="15.6" x14ac:dyDescent="0.25">
      <c r="A30" s="258"/>
      <c r="B30" s="258"/>
      <c r="C30" s="258"/>
      <c r="D30" s="258" t="s">
        <v>799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</row>
    <row r="31" spans="1:17" ht="15.6" x14ac:dyDescent="0.25">
      <c r="A31" s="267"/>
      <c r="B31" s="257"/>
    </row>
    <row r="32" spans="1:17" ht="15.6" x14ac:dyDescent="0.25">
      <c r="A32" s="258"/>
      <c r="B32" s="258"/>
      <c r="C32" s="258"/>
      <c r="D32" s="258" t="s">
        <v>795</v>
      </c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</row>
    <row r="33" spans="2:17" ht="15.6" x14ac:dyDescent="0.25">
      <c r="C33" s="258"/>
      <c r="D33" s="258"/>
      <c r="E33" s="258"/>
      <c r="F33" s="258"/>
      <c r="H33" s="258"/>
      <c r="I33" s="258"/>
      <c r="J33" s="258"/>
      <c r="K33" s="258"/>
      <c r="L33" s="258"/>
    </row>
    <row r="34" spans="2:17" ht="15.6" x14ac:dyDescent="0.25">
      <c r="B34" s="343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</row>
  </sheetData>
  <sheetProtection algorithmName="SHA-512" hashValue="rSChmAAiOlGs+TtyYDJvzqiofqfxpXEq7mwRYduKl98w20YlpAhppsyWs4G2WaW2hgJgTJfkbS6/BdnWKjAs5Q==" saltValue="29kxgQYA4DxKAmJEGdBtt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9"/>
  <sheetViews>
    <sheetView showZeros="0" rightToLeft="1" zoomScaleNormal="100" workbookViewId="0">
      <pane xSplit="3" ySplit="4" topLeftCell="D59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5.6640625" style="80" customWidth="1"/>
    <col min="4" max="4" width="11.33203125" style="105" customWidth="1"/>
    <col min="5" max="5" width="11" style="105" customWidth="1"/>
    <col min="6" max="6" width="11.33203125" style="105" customWidth="1"/>
    <col min="7" max="10" width="12.6640625" style="105" hidden="1" customWidth="1"/>
    <col min="11" max="11" width="11.33203125" style="105" hidden="1" customWidth="1"/>
    <col min="12" max="12" width="10.88671875" style="105" customWidth="1"/>
    <col min="13" max="13" width="11.109375" style="105" bestFit="1" customWidth="1"/>
    <col min="14" max="14" width="9.88671875" style="105" customWidth="1"/>
    <col min="15" max="15" width="11.5546875" style="105" customWidth="1"/>
    <col min="16" max="17" width="11.109375" style="105" hidden="1" customWidth="1"/>
    <col min="18" max="19" width="12" style="105" hidden="1" customWidth="1"/>
    <col min="20" max="20" width="8.88671875" style="105" customWidth="1"/>
    <col min="21" max="21" width="11.33203125" style="211" customWidth="1"/>
    <col min="22" max="22" width="10.109375" style="80" bestFit="1" customWidth="1"/>
    <col min="23" max="23" width="9.33203125" style="80" customWidth="1"/>
    <col min="24" max="24" width="4.6640625" style="80" hidden="1" customWidth="1"/>
    <col min="25" max="25" width="9.109375" style="80" customWidth="1"/>
    <col min="26" max="26" width="7.88671875" style="80" hidden="1" customWidth="1"/>
    <col min="27" max="27" width="10.109375" style="80" customWidth="1"/>
    <col min="28" max="16384" width="9.109375" style="80"/>
  </cols>
  <sheetData>
    <row r="1" spans="1:26" x14ac:dyDescent="0.25">
      <c r="J1" s="105">
        <f>27230000-G43</f>
        <v>0</v>
      </c>
    </row>
    <row r="2" spans="1:26" ht="18" x14ac:dyDescent="0.35">
      <c r="A2" s="451" t="s">
        <v>266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4" spans="1:26" s="107" customFormat="1" ht="69" x14ac:dyDescent="0.25">
      <c r="A4" s="106" t="s">
        <v>830</v>
      </c>
      <c r="B4" s="106" t="s">
        <v>1</v>
      </c>
      <c r="C4" s="106" t="s">
        <v>2</v>
      </c>
      <c r="D4" s="106" t="s">
        <v>3</v>
      </c>
      <c r="E4" s="106" t="s">
        <v>4</v>
      </c>
      <c r="F4" s="106" t="s">
        <v>5</v>
      </c>
      <c r="G4" s="106" t="s">
        <v>6</v>
      </c>
      <c r="H4" s="106" t="s">
        <v>7</v>
      </c>
      <c r="I4" s="106" t="s">
        <v>8</v>
      </c>
      <c r="J4" s="106" t="s">
        <v>9</v>
      </c>
      <c r="K4" s="106" t="s">
        <v>10</v>
      </c>
      <c r="L4" s="106" t="s">
        <v>11</v>
      </c>
      <c r="M4" s="82" t="s">
        <v>492</v>
      </c>
      <c r="N4" s="106" t="s">
        <v>299</v>
      </c>
      <c r="O4" s="106" t="s">
        <v>300</v>
      </c>
      <c r="P4" s="106" t="s">
        <v>12</v>
      </c>
      <c r="Q4" s="106" t="s">
        <v>301</v>
      </c>
      <c r="R4" s="106" t="s">
        <v>302</v>
      </c>
      <c r="S4" s="106" t="s">
        <v>303</v>
      </c>
      <c r="T4" s="106" t="s">
        <v>304</v>
      </c>
      <c r="U4" s="220" t="s">
        <v>305</v>
      </c>
      <c r="V4" s="106" t="s">
        <v>13</v>
      </c>
      <c r="W4" s="106" t="s">
        <v>14</v>
      </c>
      <c r="X4" s="106" t="s">
        <v>15</v>
      </c>
      <c r="Y4" s="106" t="s">
        <v>223</v>
      </c>
      <c r="Z4" s="106" t="s">
        <v>16</v>
      </c>
    </row>
    <row r="5" spans="1:26" s="87" customFormat="1" ht="18" customHeight="1" x14ac:dyDescent="0.25">
      <c r="A5" s="84"/>
      <c r="B5" s="84"/>
      <c r="C5" s="84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94"/>
      <c r="V5" s="88"/>
      <c r="W5" s="88"/>
      <c r="X5" s="88"/>
      <c r="Y5" s="84"/>
      <c r="Z5" s="84"/>
    </row>
    <row r="6" spans="1:26" s="87" customFormat="1" x14ac:dyDescent="0.25">
      <c r="A6" s="84">
        <v>1</v>
      </c>
      <c r="B6" s="84">
        <v>1247</v>
      </c>
      <c r="C6" s="84" t="s">
        <v>104</v>
      </c>
      <c r="D6" s="88">
        <v>9500000</v>
      </c>
      <c r="E6" s="88">
        <v>9500000</v>
      </c>
      <c r="F6" s="88">
        <f t="shared" ref="F6:F38" si="0">D6-E6</f>
        <v>0</v>
      </c>
      <c r="G6" s="88">
        <v>7900000</v>
      </c>
      <c r="H6" s="88">
        <v>7483033</v>
      </c>
      <c r="I6" s="88">
        <v>338487</v>
      </c>
      <c r="J6" s="88">
        <v>77280.17</v>
      </c>
      <c r="K6" s="88">
        <f>SUM(I6:J6)</f>
        <v>415767.17</v>
      </c>
      <c r="L6" s="88">
        <f>H6+K6</f>
        <v>7898800.1699999999</v>
      </c>
      <c r="M6" s="88">
        <f>P6+S6</f>
        <v>351199.83000000007</v>
      </c>
      <c r="N6" s="88">
        <v>200000</v>
      </c>
      <c r="O6" s="88">
        <f>D6-L6-M6-N6</f>
        <v>1050000</v>
      </c>
      <c r="P6" s="88">
        <f>G6-L6</f>
        <v>1199.8300000000745</v>
      </c>
      <c r="Q6" s="151">
        <v>350000</v>
      </c>
      <c r="R6" s="88"/>
      <c r="S6" s="88">
        <f t="shared" ref="S6:S13" si="1">SUM(Q6:R6)</f>
        <v>350000</v>
      </c>
      <c r="T6" s="88">
        <f>P6-M6+S6</f>
        <v>0</v>
      </c>
      <c r="U6" s="94">
        <f t="shared" ref="U6:U61" si="2">N6-T6</f>
        <v>200000</v>
      </c>
      <c r="V6" s="88">
        <v>200000</v>
      </c>
      <c r="W6" s="88">
        <f t="shared" ref="W6:W32" si="3">U6-V6-X6-Y6</f>
        <v>0</v>
      </c>
      <c r="X6" s="88"/>
      <c r="Y6" s="84"/>
      <c r="Z6" s="84">
        <v>732000</v>
      </c>
    </row>
    <row r="7" spans="1:26" s="87" customFormat="1" x14ac:dyDescent="0.25">
      <c r="A7" s="84">
        <f t="shared" ref="A7:A70" si="4">A6+1</f>
        <v>2</v>
      </c>
      <c r="B7" s="84">
        <v>1250</v>
      </c>
      <c r="C7" s="84" t="s">
        <v>105</v>
      </c>
      <c r="D7" s="88">
        <v>1450000</v>
      </c>
      <c r="E7" s="88">
        <v>1450000</v>
      </c>
      <c r="F7" s="88">
        <f t="shared" si="0"/>
        <v>0</v>
      </c>
      <c r="G7" s="88">
        <v>850000</v>
      </c>
      <c r="H7" s="88">
        <v>708018.48</v>
      </c>
      <c r="I7" s="88">
        <v>61841.18</v>
      </c>
      <c r="J7" s="88">
        <v>660.42</v>
      </c>
      <c r="K7" s="88">
        <f t="shared" ref="K7:K13" si="5">SUM(I7:J7)</f>
        <v>62501.599999999999</v>
      </c>
      <c r="L7" s="88">
        <f t="shared" ref="L7:L62" si="6">H7+K7</f>
        <v>770520.08</v>
      </c>
      <c r="M7" s="88">
        <f t="shared" ref="M7:M62" si="7">P7+S7</f>
        <v>129479.92000000004</v>
      </c>
      <c r="N7" s="88">
        <f>150000+200000-250000</f>
        <v>100000</v>
      </c>
      <c r="O7" s="88">
        <f t="shared" ref="O7:O62" si="8">D7-L7-M7-N7</f>
        <v>450000</v>
      </c>
      <c r="P7" s="88">
        <f t="shared" ref="P7:P62" si="9">G7-L7</f>
        <v>79479.920000000042</v>
      </c>
      <c r="Q7" s="199">
        <f>100000-50000</f>
        <v>50000</v>
      </c>
      <c r="R7" s="88"/>
      <c r="S7" s="88">
        <f t="shared" si="1"/>
        <v>50000</v>
      </c>
      <c r="T7" s="88">
        <f t="shared" ref="T7:T62" si="10">P7-M7+S7</f>
        <v>0</v>
      </c>
      <c r="U7" s="94">
        <f t="shared" si="2"/>
        <v>100000</v>
      </c>
      <c r="V7" s="88"/>
      <c r="W7" s="88">
        <f t="shared" si="3"/>
        <v>100000</v>
      </c>
      <c r="X7" s="88"/>
      <c r="Y7" s="84"/>
      <c r="Z7" s="84">
        <v>749000</v>
      </c>
    </row>
    <row r="8" spans="1:26" s="87" customFormat="1" x14ac:dyDescent="0.25">
      <c r="A8" s="84">
        <f t="shared" si="4"/>
        <v>3</v>
      </c>
      <c r="B8" s="84">
        <v>1253</v>
      </c>
      <c r="C8" s="84" t="s">
        <v>106</v>
      </c>
      <c r="D8" s="88">
        <f>3750000+150000</f>
        <v>3900000</v>
      </c>
      <c r="E8" s="88">
        <v>3700000</v>
      </c>
      <c r="F8" s="88">
        <f t="shared" si="0"/>
        <v>200000</v>
      </c>
      <c r="G8" s="88">
        <v>3200000</v>
      </c>
      <c r="H8" s="88">
        <v>2985192.85</v>
      </c>
      <c r="I8" s="88">
        <v>212596.41</v>
      </c>
      <c r="J8" s="88"/>
      <c r="K8" s="88">
        <f t="shared" si="5"/>
        <v>212596.41</v>
      </c>
      <c r="L8" s="88">
        <f t="shared" si="6"/>
        <v>3197789.2600000002</v>
      </c>
      <c r="M8" s="88">
        <f t="shared" si="7"/>
        <v>202210.73999999976</v>
      </c>
      <c r="N8" s="88">
        <f>500000-200000</f>
        <v>300000</v>
      </c>
      <c r="O8" s="88">
        <f t="shared" si="8"/>
        <v>200000</v>
      </c>
      <c r="P8" s="88">
        <f t="shared" si="9"/>
        <v>2210.7399999997579</v>
      </c>
      <c r="Q8" s="149">
        <v>50000</v>
      </c>
      <c r="R8" s="203">
        <v>150000</v>
      </c>
      <c r="S8" s="88">
        <f t="shared" si="1"/>
        <v>200000</v>
      </c>
      <c r="T8" s="88">
        <f t="shared" si="10"/>
        <v>0</v>
      </c>
      <c r="U8" s="94">
        <f t="shared" si="2"/>
        <v>300000</v>
      </c>
      <c r="V8" s="88"/>
      <c r="W8" s="88">
        <f t="shared" si="3"/>
        <v>300000</v>
      </c>
      <c r="X8" s="88"/>
      <c r="Y8" s="84"/>
      <c r="Z8" s="84">
        <v>850000</v>
      </c>
    </row>
    <row r="9" spans="1:26" s="87" customFormat="1" x14ac:dyDescent="0.25">
      <c r="A9" s="84">
        <f t="shared" si="4"/>
        <v>4</v>
      </c>
      <c r="B9" s="84">
        <v>1281</v>
      </c>
      <c r="C9" s="84" t="s">
        <v>107</v>
      </c>
      <c r="D9" s="88">
        <f>213905840-150000</f>
        <v>213755840</v>
      </c>
      <c r="E9" s="88">
        <v>213905840</v>
      </c>
      <c r="F9" s="88">
        <f t="shared" si="0"/>
        <v>-150000</v>
      </c>
      <c r="G9" s="88">
        <v>213905840</v>
      </c>
      <c r="H9" s="88">
        <v>211376250</v>
      </c>
      <c r="I9" s="88">
        <f>931157+6174</f>
        <v>937331</v>
      </c>
      <c r="J9" s="88">
        <f>511484+804437</f>
        <v>1315921</v>
      </c>
      <c r="K9" s="88">
        <f t="shared" si="5"/>
        <v>2253252</v>
      </c>
      <c r="L9" s="88">
        <f t="shared" si="6"/>
        <v>213629502</v>
      </c>
      <c r="M9" s="88">
        <f>P9+S9-150000</f>
        <v>126338</v>
      </c>
      <c r="N9" s="88"/>
      <c r="O9" s="88">
        <f t="shared" si="8"/>
        <v>0</v>
      </c>
      <c r="P9" s="88">
        <f t="shared" si="9"/>
        <v>276338</v>
      </c>
      <c r="Q9" s="88"/>
      <c r="R9" s="88"/>
      <c r="S9" s="88">
        <f t="shared" si="1"/>
        <v>0</v>
      </c>
      <c r="T9" s="88">
        <f t="shared" si="10"/>
        <v>150000</v>
      </c>
      <c r="U9" s="94">
        <f t="shared" si="2"/>
        <v>-150000</v>
      </c>
      <c r="V9" s="88"/>
      <c r="W9" s="88">
        <f t="shared" si="3"/>
        <v>-150000</v>
      </c>
      <c r="X9" s="88"/>
      <c r="Y9" s="84"/>
      <c r="Z9" s="84">
        <v>810000</v>
      </c>
    </row>
    <row r="10" spans="1:26" s="95" customFormat="1" x14ac:dyDescent="0.25">
      <c r="A10" s="84">
        <f t="shared" si="4"/>
        <v>5</v>
      </c>
      <c r="B10" s="93">
        <v>1350</v>
      </c>
      <c r="C10" s="93" t="s">
        <v>503</v>
      </c>
      <c r="D10" s="94">
        <v>1300000</v>
      </c>
      <c r="E10" s="94">
        <v>1300000</v>
      </c>
      <c r="F10" s="88">
        <f t="shared" si="0"/>
        <v>0</v>
      </c>
      <c r="G10" s="94">
        <v>550000</v>
      </c>
      <c r="H10" s="94">
        <v>435268.96</v>
      </c>
      <c r="I10" s="94">
        <v>28692.79</v>
      </c>
      <c r="J10" s="94"/>
      <c r="K10" s="94">
        <f t="shared" si="5"/>
        <v>28692.79</v>
      </c>
      <c r="L10" s="94">
        <f t="shared" si="6"/>
        <v>463961.75</v>
      </c>
      <c r="M10" s="94">
        <f t="shared" si="7"/>
        <v>136038.25</v>
      </c>
      <c r="N10" s="94">
        <f>450000-150000</f>
        <v>300000</v>
      </c>
      <c r="O10" s="94">
        <f t="shared" si="8"/>
        <v>400000</v>
      </c>
      <c r="P10" s="94">
        <f t="shared" si="9"/>
        <v>86038.25</v>
      </c>
      <c r="Q10" s="199">
        <v>50000</v>
      </c>
      <c r="R10" s="88"/>
      <c r="S10" s="94">
        <f t="shared" si="1"/>
        <v>50000</v>
      </c>
      <c r="T10" s="94">
        <f t="shared" si="10"/>
        <v>0</v>
      </c>
      <c r="U10" s="94">
        <f t="shared" si="2"/>
        <v>300000</v>
      </c>
      <c r="V10" s="94"/>
      <c r="W10" s="88">
        <f t="shared" si="3"/>
        <v>300000</v>
      </c>
      <c r="X10" s="94"/>
      <c r="Y10" s="93"/>
      <c r="Z10" s="93">
        <v>828900</v>
      </c>
    </row>
    <row r="11" spans="1:26" s="87" customFormat="1" x14ac:dyDescent="0.25">
      <c r="A11" s="84">
        <f t="shared" si="4"/>
        <v>6</v>
      </c>
      <c r="B11" s="84">
        <v>1372</v>
      </c>
      <c r="C11" s="84" t="s">
        <v>109</v>
      </c>
      <c r="D11" s="88">
        <v>2900000</v>
      </c>
      <c r="E11" s="88">
        <v>2900000</v>
      </c>
      <c r="F11" s="88">
        <f t="shared" si="0"/>
        <v>0</v>
      </c>
      <c r="G11" s="88">
        <v>1500000</v>
      </c>
      <c r="H11" s="88">
        <v>1407501.36</v>
      </c>
      <c r="I11" s="88">
        <v>92475.76</v>
      </c>
      <c r="J11" s="88"/>
      <c r="K11" s="88">
        <f t="shared" si="5"/>
        <v>92475.76</v>
      </c>
      <c r="L11" s="88">
        <f t="shared" si="6"/>
        <v>1499977.12</v>
      </c>
      <c r="M11" s="88">
        <f t="shared" si="7"/>
        <v>22.879999999888241</v>
      </c>
      <c r="N11" s="88"/>
      <c r="O11" s="88">
        <f t="shared" si="8"/>
        <v>1400000</v>
      </c>
      <c r="P11" s="88">
        <f t="shared" si="9"/>
        <v>22.879999999888241</v>
      </c>
      <c r="Q11" s="88"/>
      <c r="R11" s="88"/>
      <c r="S11" s="88">
        <f t="shared" si="1"/>
        <v>0</v>
      </c>
      <c r="T11" s="88">
        <f t="shared" si="10"/>
        <v>0</v>
      </c>
      <c r="U11" s="94">
        <f t="shared" si="2"/>
        <v>0</v>
      </c>
      <c r="V11" s="88"/>
      <c r="W11" s="88">
        <f t="shared" si="3"/>
        <v>0</v>
      </c>
      <c r="X11" s="88"/>
      <c r="Y11" s="84"/>
      <c r="Z11" s="84">
        <v>810000</v>
      </c>
    </row>
    <row r="12" spans="1:26" s="87" customFormat="1" x14ac:dyDescent="0.25">
      <c r="A12" s="84">
        <f t="shared" si="4"/>
        <v>7</v>
      </c>
      <c r="B12" s="84">
        <v>1415</v>
      </c>
      <c r="C12" s="84" t="s">
        <v>110</v>
      </c>
      <c r="D12" s="88">
        <v>1150000</v>
      </c>
      <c r="E12" s="88">
        <v>1150000</v>
      </c>
      <c r="F12" s="88">
        <f t="shared" si="0"/>
        <v>0</v>
      </c>
      <c r="G12" s="88">
        <v>800000</v>
      </c>
      <c r="H12" s="88">
        <v>741130</v>
      </c>
      <c r="I12" s="88">
        <v>20082</v>
      </c>
      <c r="J12" s="88">
        <v>0.4</v>
      </c>
      <c r="K12" s="88">
        <f t="shared" si="5"/>
        <v>20082.400000000001</v>
      </c>
      <c r="L12" s="88">
        <f t="shared" si="6"/>
        <v>761212.4</v>
      </c>
      <c r="M12" s="88">
        <f t="shared" si="7"/>
        <v>38787.599999999977</v>
      </c>
      <c r="N12" s="88">
        <f>300000-200000</f>
        <v>100000</v>
      </c>
      <c r="O12" s="88">
        <f t="shared" si="8"/>
        <v>250000</v>
      </c>
      <c r="P12" s="88">
        <f t="shared" si="9"/>
        <v>38787.599999999977</v>
      </c>
      <c r="Q12" s="88"/>
      <c r="R12" s="88"/>
      <c r="S12" s="88">
        <f t="shared" si="1"/>
        <v>0</v>
      </c>
      <c r="T12" s="88">
        <f t="shared" si="10"/>
        <v>0</v>
      </c>
      <c r="U12" s="94">
        <f t="shared" si="2"/>
        <v>100000</v>
      </c>
      <c r="V12" s="88"/>
      <c r="W12" s="88">
        <f t="shared" si="3"/>
        <v>100000</v>
      </c>
      <c r="X12" s="88"/>
      <c r="Y12" s="84"/>
      <c r="Z12" s="84">
        <v>930000</v>
      </c>
    </row>
    <row r="13" spans="1:26" s="87" customFormat="1" x14ac:dyDescent="0.25">
      <c r="A13" s="84">
        <f t="shared" si="4"/>
        <v>8</v>
      </c>
      <c r="B13" s="84">
        <v>1416</v>
      </c>
      <c r="C13" s="84" t="s">
        <v>274</v>
      </c>
      <c r="D13" s="88">
        <v>1700000</v>
      </c>
      <c r="E13" s="88">
        <v>1700000</v>
      </c>
      <c r="F13" s="88">
        <f t="shared" si="0"/>
        <v>0</v>
      </c>
      <c r="G13" s="88">
        <v>1100000</v>
      </c>
      <c r="H13" s="88">
        <v>1030750.11</v>
      </c>
      <c r="I13" s="88">
        <v>25863.75</v>
      </c>
      <c r="J13" s="88"/>
      <c r="K13" s="88">
        <f t="shared" si="5"/>
        <v>25863.75</v>
      </c>
      <c r="L13" s="88">
        <f t="shared" si="6"/>
        <v>1056613.8599999999</v>
      </c>
      <c r="M13" s="88">
        <f>P13+S13</f>
        <v>93386.14000000013</v>
      </c>
      <c r="N13" s="88">
        <v>100000</v>
      </c>
      <c r="O13" s="88">
        <f t="shared" si="8"/>
        <v>450000</v>
      </c>
      <c r="P13" s="88">
        <f t="shared" si="9"/>
        <v>43386.14000000013</v>
      </c>
      <c r="Q13" s="149">
        <v>50000</v>
      </c>
      <c r="R13" s="88"/>
      <c r="S13" s="88">
        <f t="shared" si="1"/>
        <v>50000</v>
      </c>
      <c r="T13" s="88">
        <f t="shared" si="10"/>
        <v>0</v>
      </c>
      <c r="U13" s="94">
        <f t="shared" si="2"/>
        <v>100000</v>
      </c>
      <c r="V13" s="88"/>
      <c r="W13" s="88">
        <f t="shared" si="3"/>
        <v>100000</v>
      </c>
      <c r="X13" s="88"/>
      <c r="Y13" s="84"/>
      <c r="Z13" s="84">
        <v>930000</v>
      </c>
    </row>
    <row r="14" spans="1:26" s="87" customFormat="1" x14ac:dyDescent="0.25">
      <c r="A14" s="84">
        <f t="shared" si="4"/>
        <v>9</v>
      </c>
      <c r="B14" s="84">
        <v>1472</v>
      </c>
      <c r="C14" s="84" t="s">
        <v>111</v>
      </c>
      <c r="D14" s="88">
        <f>21000000-10150000</f>
        <v>10850000</v>
      </c>
      <c r="E14" s="88">
        <v>21000000</v>
      </c>
      <c r="F14" s="88">
        <f t="shared" si="0"/>
        <v>-10150000</v>
      </c>
      <c r="G14" s="88">
        <v>11250000</v>
      </c>
      <c r="H14" s="88">
        <v>9869070</v>
      </c>
      <c r="I14" s="88">
        <v>506122</v>
      </c>
      <c r="J14" s="88">
        <v>4448.6000000000004</v>
      </c>
      <c r="K14" s="88">
        <f t="shared" ref="K14:K64" si="11">SUM(I14:J14)</f>
        <v>510570.6</v>
      </c>
      <c r="L14" s="88">
        <f t="shared" si="6"/>
        <v>10379640.6</v>
      </c>
      <c r="M14" s="88">
        <f>P14+S14-400000</f>
        <v>470359.40000000037</v>
      </c>
      <c r="N14" s="88"/>
      <c r="O14" s="88">
        <f t="shared" si="8"/>
        <v>0</v>
      </c>
      <c r="P14" s="88">
        <f t="shared" si="9"/>
        <v>870359.40000000037</v>
      </c>
      <c r="Q14" s="88"/>
      <c r="R14" s="88"/>
      <c r="S14" s="88">
        <f t="shared" ref="S14:S72" si="12">SUM(Q14:R14)</f>
        <v>0</v>
      </c>
      <c r="T14" s="88">
        <f t="shared" si="10"/>
        <v>400000</v>
      </c>
      <c r="U14" s="94">
        <f t="shared" si="2"/>
        <v>-400000</v>
      </c>
      <c r="V14" s="88"/>
      <c r="W14" s="88">
        <f t="shared" si="3"/>
        <v>-400000</v>
      </c>
      <c r="X14" s="88"/>
      <c r="Y14" s="84"/>
      <c r="Z14" s="84">
        <v>810000</v>
      </c>
    </row>
    <row r="15" spans="1:26" s="87" customFormat="1" x14ac:dyDescent="0.25">
      <c r="A15" s="84">
        <f t="shared" si="4"/>
        <v>10</v>
      </c>
      <c r="B15" s="84">
        <v>1474</v>
      </c>
      <c r="C15" s="84" t="s">
        <v>112</v>
      </c>
      <c r="D15" s="88">
        <f>4560000-2455000</f>
        <v>2105000</v>
      </c>
      <c r="E15" s="88">
        <v>4560000</v>
      </c>
      <c r="F15" s="88">
        <f t="shared" si="0"/>
        <v>-2455000</v>
      </c>
      <c r="G15" s="88">
        <v>1800000</v>
      </c>
      <c r="H15" s="88">
        <v>1491615.03</v>
      </c>
      <c r="I15" s="88">
        <v>307854.2</v>
      </c>
      <c r="J15" s="88"/>
      <c r="K15" s="88">
        <f t="shared" si="11"/>
        <v>307854.2</v>
      </c>
      <c r="L15" s="88">
        <f t="shared" si="6"/>
        <v>1799469.23</v>
      </c>
      <c r="M15" s="88">
        <f t="shared" si="7"/>
        <v>305530.77</v>
      </c>
      <c r="N15" s="88"/>
      <c r="O15" s="88">
        <f t="shared" si="8"/>
        <v>0</v>
      </c>
      <c r="P15" s="88">
        <f t="shared" si="9"/>
        <v>530.77000000001863</v>
      </c>
      <c r="Q15" s="88"/>
      <c r="R15" s="199">
        <v>305000</v>
      </c>
      <c r="S15" s="88">
        <f t="shared" si="12"/>
        <v>305000</v>
      </c>
      <c r="T15" s="88">
        <f t="shared" si="10"/>
        <v>0</v>
      </c>
      <c r="U15" s="94">
        <f t="shared" si="2"/>
        <v>0</v>
      </c>
      <c r="V15" s="88"/>
      <c r="W15" s="88">
        <f t="shared" si="3"/>
        <v>0</v>
      </c>
      <c r="X15" s="88"/>
      <c r="Y15" s="84"/>
      <c r="Z15" s="84">
        <v>812000</v>
      </c>
    </row>
    <row r="16" spans="1:26" s="87" customFormat="1" x14ac:dyDescent="0.25">
      <c r="A16" s="84">
        <f t="shared" si="4"/>
        <v>11</v>
      </c>
      <c r="B16" s="84">
        <v>1475</v>
      </c>
      <c r="C16" s="84" t="s">
        <v>113</v>
      </c>
      <c r="D16" s="88">
        <f>3000000-1700000</f>
        <v>1300000</v>
      </c>
      <c r="E16" s="88">
        <v>3000000</v>
      </c>
      <c r="F16" s="88">
        <f t="shared" si="0"/>
        <v>-1700000</v>
      </c>
      <c r="G16" s="88">
        <v>1300000</v>
      </c>
      <c r="H16" s="88">
        <v>1023190.68</v>
      </c>
      <c r="I16" s="88">
        <v>269777.38</v>
      </c>
      <c r="J16" s="88"/>
      <c r="K16" s="88">
        <f t="shared" si="11"/>
        <v>269777.38</v>
      </c>
      <c r="L16" s="88">
        <f t="shared" si="6"/>
        <v>1292968.06</v>
      </c>
      <c r="M16" s="88">
        <f t="shared" si="7"/>
        <v>7031.9399999999441</v>
      </c>
      <c r="N16" s="88"/>
      <c r="O16" s="88">
        <f t="shared" si="8"/>
        <v>0</v>
      </c>
      <c r="P16" s="88">
        <f t="shared" si="9"/>
        <v>7031.9399999999441</v>
      </c>
      <c r="Q16" s="88"/>
      <c r="R16" s="88"/>
      <c r="S16" s="88">
        <f t="shared" si="12"/>
        <v>0</v>
      </c>
      <c r="T16" s="88">
        <f t="shared" si="10"/>
        <v>0</v>
      </c>
      <c r="U16" s="94">
        <f t="shared" si="2"/>
        <v>0</v>
      </c>
      <c r="V16" s="88"/>
      <c r="W16" s="88">
        <f t="shared" si="3"/>
        <v>0</v>
      </c>
      <c r="X16" s="88"/>
      <c r="Y16" s="84"/>
      <c r="Z16" s="84">
        <v>810000</v>
      </c>
    </row>
    <row r="17" spans="1:26" s="87" customFormat="1" x14ac:dyDescent="0.25">
      <c r="A17" s="84">
        <f t="shared" si="4"/>
        <v>12</v>
      </c>
      <c r="B17" s="84">
        <v>1476</v>
      </c>
      <c r="C17" s="84" t="s">
        <v>504</v>
      </c>
      <c r="D17" s="88">
        <f>3000000-2100000</f>
        <v>900000</v>
      </c>
      <c r="E17" s="88">
        <v>3000000</v>
      </c>
      <c r="F17" s="88">
        <f t="shared" si="0"/>
        <v>-2100000</v>
      </c>
      <c r="G17" s="88">
        <v>800000</v>
      </c>
      <c r="H17" s="88">
        <v>700638.99</v>
      </c>
      <c r="I17" s="88">
        <v>96498.11</v>
      </c>
      <c r="J17" s="88"/>
      <c r="K17" s="88">
        <f t="shared" si="11"/>
        <v>96498.11</v>
      </c>
      <c r="L17" s="88">
        <f t="shared" si="6"/>
        <v>797137.1</v>
      </c>
      <c r="M17" s="88">
        <f t="shared" si="7"/>
        <v>102862.90000000002</v>
      </c>
      <c r="N17" s="88"/>
      <c r="O17" s="88">
        <f t="shared" si="8"/>
        <v>0</v>
      </c>
      <c r="P17" s="88">
        <f t="shared" si="9"/>
        <v>2862.9000000000233</v>
      </c>
      <c r="Q17" s="151">
        <v>100000</v>
      </c>
      <c r="R17" s="88"/>
      <c r="S17" s="88">
        <v>100000</v>
      </c>
      <c r="T17" s="88">
        <f t="shared" si="10"/>
        <v>0</v>
      </c>
      <c r="U17" s="94">
        <f t="shared" si="2"/>
        <v>0</v>
      </c>
      <c r="V17" s="88"/>
      <c r="W17" s="88">
        <f t="shared" si="3"/>
        <v>0</v>
      </c>
      <c r="X17" s="88"/>
      <c r="Y17" s="84"/>
      <c r="Z17" s="84">
        <v>810000</v>
      </c>
    </row>
    <row r="18" spans="1:26" s="87" customFormat="1" x14ac:dyDescent="0.25">
      <c r="A18" s="84">
        <f t="shared" si="4"/>
        <v>13</v>
      </c>
      <c r="B18" s="84">
        <v>1477</v>
      </c>
      <c r="C18" s="84" t="s">
        <v>114</v>
      </c>
      <c r="D18" s="88">
        <f>7900000-5700000</f>
        <v>2200000</v>
      </c>
      <c r="E18" s="88">
        <v>7900000</v>
      </c>
      <c r="F18" s="88">
        <f t="shared" si="0"/>
        <v>-5700000</v>
      </c>
      <c r="G18" s="88">
        <v>2200000</v>
      </c>
      <c r="H18" s="88">
        <v>1162353</v>
      </c>
      <c r="I18" s="88">
        <v>865170</v>
      </c>
      <c r="J18" s="88"/>
      <c r="K18" s="88">
        <f t="shared" si="11"/>
        <v>865170</v>
      </c>
      <c r="L18" s="88">
        <f t="shared" si="6"/>
        <v>2027523</v>
      </c>
      <c r="M18" s="88">
        <f t="shared" si="7"/>
        <v>172477</v>
      </c>
      <c r="N18" s="88"/>
      <c r="O18" s="88">
        <f t="shared" si="8"/>
        <v>0</v>
      </c>
      <c r="P18" s="88">
        <f t="shared" si="9"/>
        <v>172477</v>
      </c>
      <c r="Q18" s="88"/>
      <c r="R18" s="88"/>
      <c r="S18" s="88">
        <f t="shared" si="12"/>
        <v>0</v>
      </c>
      <c r="T18" s="88">
        <f t="shared" si="10"/>
        <v>0</v>
      </c>
      <c r="U18" s="94">
        <f t="shared" si="2"/>
        <v>0</v>
      </c>
      <c r="V18" s="88"/>
      <c r="W18" s="88">
        <f t="shared" si="3"/>
        <v>0</v>
      </c>
      <c r="X18" s="88"/>
      <c r="Y18" s="84"/>
      <c r="Z18" s="84">
        <v>810000</v>
      </c>
    </row>
    <row r="19" spans="1:26" s="87" customFormat="1" x14ac:dyDescent="0.25">
      <c r="A19" s="84">
        <f t="shared" si="4"/>
        <v>14</v>
      </c>
      <c r="B19" s="84">
        <v>1478</v>
      </c>
      <c r="C19" s="84" t="s">
        <v>493</v>
      </c>
      <c r="D19" s="88">
        <f>5000000-3200000</f>
        <v>1800000</v>
      </c>
      <c r="E19" s="88">
        <v>5000000</v>
      </c>
      <c r="F19" s="88">
        <f t="shared" si="0"/>
        <v>-3200000</v>
      </c>
      <c r="G19" s="88">
        <v>1800000</v>
      </c>
      <c r="H19" s="88">
        <v>1541049.74</v>
      </c>
      <c r="I19" s="88">
        <v>258099.13</v>
      </c>
      <c r="J19" s="88"/>
      <c r="K19" s="88">
        <f t="shared" si="11"/>
        <v>258099.13</v>
      </c>
      <c r="L19" s="88">
        <f t="shared" si="6"/>
        <v>1799148.87</v>
      </c>
      <c r="M19" s="88">
        <f t="shared" si="7"/>
        <v>851.12999999988824</v>
      </c>
      <c r="N19" s="88"/>
      <c r="O19" s="88">
        <f t="shared" si="8"/>
        <v>0</v>
      </c>
      <c r="P19" s="88">
        <f t="shared" si="9"/>
        <v>851.12999999988824</v>
      </c>
      <c r="Q19" s="88"/>
      <c r="R19" s="88"/>
      <c r="S19" s="88">
        <f t="shared" si="12"/>
        <v>0</v>
      </c>
      <c r="T19" s="88">
        <f t="shared" si="10"/>
        <v>0</v>
      </c>
      <c r="U19" s="94">
        <f t="shared" si="2"/>
        <v>0</v>
      </c>
      <c r="V19" s="88"/>
      <c r="W19" s="88">
        <f t="shared" si="3"/>
        <v>0</v>
      </c>
      <c r="X19" s="88"/>
      <c r="Y19" s="84"/>
      <c r="Z19" s="84">
        <v>930000</v>
      </c>
    </row>
    <row r="20" spans="1:26" s="87" customFormat="1" x14ac:dyDescent="0.25">
      <c r="A20" s="84">
        <f t="shared" si="4"/>
        <v>15</v>
      </c>
      <c r="B20" s="84">
        <v>1479</v>
      </c>
      <c r="C20" s="84" t="s">
        <v>115</v>
      </c>
      <c r="D20" s="88">
        <f>2500000-1100000</f>
        <v>1400000</v>
      </c>
      <c r="E20" s="88">
        <v>2500000</v>
      </c>
      <c r="F20" s="88">
        <f t="shared" si="0"/>
        <v>-1100000</v>
      </c>
      <c r="G20" s="88">
        <v>1200000</v>
      </c>
      <c r="H20" s="88">
        <v>944517.17</v>
      </c>
      <c r="I20" s="88">
        <v>226892.82</v>
      </c>
      <c r="J20" s="88">
        <v>9066.33</v>
      </c>
      <c r="K20" s="88">
        <f t="shared" si="11"/>
        <v>235959.15</v>
      </c>
      <c r="L20" s="88">
        <f t="shared" si="6"/>
        <v>1180476.32</v>
      </c>
      <c r="M20" s="88">
        <f t="shared" si="7"/>
        <v>219523.67999999993</v>
      </c>
      <c r="N20" s="88"/>
      <c r="O20" s="88">
        <f t="shared" si="8"/>
        <v>0</v>
      </c>
      <c r="P20" s="88">
        <f t="shared" si="9"/>
        <v>19523.679999999935</v>
      </c>
      <c r="Q20" s="151">
        <v>200000</v>
      </c>
      <c r="R20" s="88"/>
      <c r="S20" s="88">
        <f t="shared" si="12"/>
        <v>200000</v>
      </c>
      <c r="T20" s="88">
        <f t="shared" si="10"/>
        <v>0</v>
      </c>
      <c r="U20" s="94">
        <f t="shared" si="2"/>
        <v>0</v>
      </c>
      <c r="V20" s="88"/>
      <c r="W20" s="88">
        <f t="shared" si="3"/>
        <v>0</v>
      </c>
      <c r="X20" s="88"/>
      <c r="Y20" s="84"/>
      <c r="Z20" s="84">
        <v>810000</v>
      </c>
    </row>
    <row r="21" spans="1:26" s="87" customFormat="1" x14ac:dyDescent="0.25">
      <c r="A21" s="84">
        <f t="shared" si="4"/>
        <v>16</v>
      </c>
      <c r="B21" s="84">
        <v>1480</v>
      </c>
      <c r="C21" s="84" t="s">
        <v>116</v>
      </c>
      <c r="D21" s="88">
        <v>4500000</v>
      </c>
      <c r="E21" s="88">
        <v>4500000</v>
      </c>
      <c r="F21" s="88">
        <f t="shared" si="0"/>
        <v>0</v>
      </c>
      <c r="G21" s="88">
        <v>2100000</v>
      </c>
      <c r="H21" s="88">
        <v>1974585.09</v>
      </c>
      <c r="I21" s="88">
        <v>87005</v>
      </c>
      <c r="J21" s="88">
        <v>0.48</v>
      </c>
      <c r="K21" s="88">
        <f t="shared" si="11"/>
        <v>87005.48</v>
      </c>
      <c r="L21" s="88">
        <f t="shared" si="6"/>
        <v>2061590.57</v>
      </c>
      <c r="M21" s="88">
        <f t="shared" si="7"/>
        <v>438409.42999999993</v>
      </c>
      <c r="N21" s="88">
        <f>1500000-1000000</f>
        <v>500000</v>
      </c>
      <c r="O21" s="88">
        <f t="shared" si="8"/>
        <v>1499999.9999999998</v>
      </c>
      <c r="P21" s="88">
        <f t="shared" si="9"/>
        <v>38409.429999999935</v>
      </c>
      <c r="Q21" s="149">
        <v>400000</v>
      </c>
      <c r="R21" s="88"/>
      <c r="S21" s="88">
        <f t="shared" si="12"/>
        <v>400000</v>
      </c>
      <c r="T21" s="88">
        <f t="shared" si="10"/>
        <v>0</v>
      </c>
      <c r="U21" s="94">
        <f t="shared" si="2"/>
        <v>500000</v>
      </c>
      <c r="V21" s="88"/>
      <c r="W21" s="88">
        <f t="shared" si="3"/>
        <v>500000</v>
      </c>
      <c r="X21" s="88"/>
      <c r="Y21" s="84"/>
      <c r="Z21" s="84">
        <v>810000</v>
      </c>
    </row>
    <row r="22" spans="1:26" s="87" customFormat="1" x14ac:dyDescent="0.25">
      <c r="A22" s="84">
        <f t="shared" si="4"/>
        <v>17</v>
      </c>
      <c r="B22" s="84">
        <v>1481</v>
      </c>
      <c r="C22" s="84" t="s">
        <v>505</v>
      </c>
      <c r="D22" s="88">
        <f>17250000-9270000-1000000</f>
        <v>6980000</v>
      </c>
      <c r="E22" s="88">
        <v>17250000</v>
      </c>
      <c r="F22" s="88">
        <f t="shared" si="0"/>
        <v>-10270000</v>
      </c>
      <c r="G22" s="88">
        <f>5080000+900000</f>
        <v>5980000</v>
      </c>
      <c r="H22" s="88">
        <v>4160444.17</v>
      </c>
      <c r="I22" s="88">
        <v>918233.53</v>
      </c>
      <c r="J22" s="88"/>
      <c r="K22" s="88">
        <f t="shared" si="11"/>
        <v>918233.53</v>
      </c>
      <c r="L22" s="88">
        <f t="shared" si="6"/>
        <v>5078677.7</v>
      </c>
      <c r="M22" s="88">
        <f t="shared" si="7"/>
        <v>1901322.2999999998</v>
      </c>
      <c r="N22" s="88"/>
      <c r="O22" s="88">
        <f t="shared" si="8"/>
        <v>0</v>
      </c>
      <c r="P22" s="88">
        <f t="shared" si="9"/>
        <v>901322.29999999981</v>
      </c>
      <c r="Q22" s="199">
        <f>1900000-900000</f>
        <v>1000000</v>
      </c>
      <c r="R22" s="88"/>
      <c r="S22" s="88">
        <f t="shared" si="12"/>
        <v>1000000</v>
      </c>
      <c r="T22" s="88">
        <f t="shared" si="10"/>
        <v>0</v>
      </c>
      <c r="U22" s="94">
        <f t="shared" si="2"/>
        <v>0</v>
      </c>
      <c r="V22" s="88"/>
      <c r="W22" s="88">
        <f t="shared" si="3"/>
        <v>0</v>
      </c>
      <c r="X22" s="88"/>
      <c r="Y22" s="84"/>
      <c r="Z22" s="84">
        <v>743000</v>
      </c>
    </row>
    <row r="23" spans="1:26" s="87" customFormat="1" x14ac:dyDescent="0.25">
      <c r="A23" s="84">
        <f t="shared" si="4"/>
        <v>18</v>
      </c>
      <c r="B23" s="84">
        <v>1482</v>
      </c>
      <c r="C23" s="84" t="s">
        <v>117</v>
      </c>
      <c r="D23" s="88">
        <f>5000000-3550000</f>
        <v>1450000</v>
      </c>
      <c r="E23" s="88">
        <v>5000000</v>
      </c>
      <c r="F23" s="88">
        <f t="shared" si="0"/>
        <v>-3550000</v>
      </c>
      <c r="G23" s="88">
        <v>1450000</v>
      </c>
      <c r="H23" s="88">
        <v>1233186</v>
      </c>
      <c r="I23" s="88">
        <v>212442</v>
      </c>
      <c r="J23" s="88"/>
      <c r="K23" s="88">
        <f t="shared" si="11"/>
        <v>212442</v>
      </c>
      <c r="L23" s="88">
        <f t="shared" si="6"/>
        <v>1445628</v>
      </c>
      <c r="M23" s="88">
        <f t="shared" si="7"/>
        <v>4372</v>
      </c>
      <c r="N23" s="88"/>
      <c r="O23" s="88">
        <f t="shared" si="8"/>
        <v>0</v>
      </c>
      <c r="P23" s="88">
        <f t="shared" si="9"/>
        <v>4372</v>
      </c>
      <c r="Q23" s="88"/>
      <c r="R23" s="88"/>
      <c r="S23" s="88">
        <f t="shared" si="12"/>
        <v>0</v>
      </c>
      <c r="T23" s="88">
        <f t="shared" si="10"/>
        <v>0</v>
      </c>
      <c r="U23" s="94">
        <f t="shared" si="2"/>
        <v>0</v>
      </c>
      <c r="V23" s="88"/>
      <c r="W23" s="88">
        <f t="shared" si="3"/>
        <v>0</v>
      </c>
      <c r="X23" s="88"/>
      <c r="Y23" s="84"/>
      <c r="Z23" s="84">
        <v>810000</v>
      </c>
    </row>
    <row r="24" spans="1:26" s="87" customFormat="1" x14ac:dyDescent="0.25">
      <c r="A24" s="84">
        <f t="shared" si="4"/>
        <v>19</v>
      </c>
      <c r="B24" s="84">
        <v>1483</v>
      </c>
      <c r="C24" s="84" t="s">
        <v>118</v>
      </c>
      <c r="D24" s="88">
        <v>2700000</v>
      </c>
      <c r="E24" s="88">
        <v>2700000</v>
      </c>
      <c r="F24" s="88">
        <f t="shared" si="0"/>
        <v>0</v>
      </c>
      <c r="G24" s="88">
        <v>1200000</v>
      </c>
      <c r="H24" s="88">
        <v>1110871.24</v>
      </c>
      <c r="I24" s="88">
        <v>31259.62</v>
      </c>
      <c r="J24" s="88"/>
      <c r="K24" s="88">
        <f t="shared" si="11"/>
        <v>31259.62</v>
      </c>
      <c r="L24" s="88">
        <f t="shared" si="6"/>
        <v>1142130.8600000001</v>
      </c>
      <c r="M24" s="88">
        <f t="shared" si="7"/>
        <v>57869.139999999898</v>
      </c>
      <c r="N24" s="88">
        <v>300000</v>
      </c>
      <c r="O24" s="88">
        <f t="shared" si="8"/>
        <v>1200000</v>
      </c>
      <c r="P24" s="88">
        <f t="shared" si="9"/>
        <v>57869.139999999898</v>
      </c>
      <c r="Q24" s="88"/>
      <c r="R24" s="88"/>
      <c r="S24" s="88">
        <f t="shared" si="12"/>
        <v>0</v>
      </c>
      <c r="T24" s="88">
        <f t="shared" si="10"/>
        <v>0</v>
      </c>
      <c r="U24" s="94">
        <f t="shared" si="2"/>
        <v>300000</v>
      </c>
      <c r="V24" s="88"/>
      <c r="W24" s="88">
        <f t="shared" si="3"/>
        <v>300000</v>
      </c>
      <c r="X24" s="88"/>
      <c r="Y24" s="84"/>
      <c r="Z24" s="84">
        <v>812000</v>
      </c>
    </row>
    <row r="25" spans="1:26" s="87" customFormat="1" x14ac:dyDescent="0.25">
      <c r="A25" s="84">
        <f t="shared" si="4"/>
        <v>20</v>
      </c>
      <c r="B25" s="84">
        <v>1485</v>
      </c>
      <c r="C25" s="84" t="s">
        <v>119</v>
      </c>
      <c r="D25" s="88">
        <f>2200000-800000</f>
        <v>1400000</v>
      </c>
      <c r="E25" s="88">
        <v>2200000</v>
      </c>
      <c r="F25" s="88">
        <f t="shared" si="0"/>
        <v>-800000</v>
      </c>
      <c r="G25" s="88">
        <v>1400000</v>
      </c>
      <c r="H25" s="88">
        <v>1218418.8799999999</v>
      </c>
      <c r="I25" s="88"/>
      <c r="J25" s="88"/>
      <c r="K25" s="88">
        <f t="shared" si="11"/>
        <v>0</v>
      </c>
      <c r="L25" s="88">
        <f t="shared" si="6"/>
        <v>1218418.8799999999</v>
      </c>
      <c r="M25" s="88">
        <f t="shared" si="7"/>
        <v>181581.12000000011</v>
      </c>
      <c r="N25" s="88"/>
      <c r="O25" s="88">
        <f t="shared" si="8"/>
        <v>0</v>
      </c>
      <c r="P25" s="88">
        <f t="shared" si="9"/>
        <v>181581.12000000011</v>
      </c>
      <c r="Q25" s="88"/>
      <c r="R25" s="88"/>
      <c r="S25" s="88">
        <f t="shared" si="12"/>
        <v>0</v>
      </c>
      <c r="T25" s="88">
        <f t="shared" si="10"/>
        <v>0</v>
      </c>
      <c r="U25" s="94">
        <f t="shared" si="2"/>
        <v>0</v>
      </c>
      <c r="V25" s="88"/>
      <c r="W25" s="88">
        <f t="shared" si="3"/>
        <v>0</v>
      </c>
      <c r="X25" s="88"/>
      <c r="Y25" s="84"/>
      <c r="Z25" s="84">
        <v>742000</v>
      </c>
    </row>
    <row r="26" spans="1:26" s="87" customFormat="1" ht="15.6" x14ac:dyDescent="0.3">
      <c r="A26" s="84">
        <f t="shared" si="4"/>
        <v>21</v>
      </c>
      <c r="B26" s="84">
        <v>1514</v>
      </c>
      <c r="C26" s="109" t="s">
        <v>122</v>
      </c>
      <c r="D26" s="88">
        <v>850000</v>
      </c>
      <c r="E26" s="88">
        <v>850000</v>
      </c>
      <c r="F26" s="88">
        <f t="shared" si="0"/>
        <v>0</v>
      </c>
      <c r="G26" s="88">
        <v>750000</v>
      </c>
      <c r="H26" s="88">
        <v>691313.61</v>
      </c>
      <c r="I26" s="88">
        <v>52650</v>
      </c>
      <c r="J26" s="88"/>
      <c r="K26" s="88">
        <f t="shared" si="11"/>
        <v>52650</v>
      </c>
      <c r="L26" s="88">
        <f t="shared" si="6"/>
        <v>743963.61</v>
      </c>
      <c r="M26" s="88">
        <f t="shared" si="7"/>
        <v>6036.390000000014</v>
      </c>
      <c r="N26" s="88"/>
      <c r="O26" s="88">
        <f t="shared" si="8"/>
        <v>100000</v>
      </c>
      <c r="P26" s="88">
        <f t="shared" si="9"/>
        <v>6036.390000000014</v>
      </c>
      <c r="Q26" s="88"/>
      <c r="R26" s="88"/>
      <c r="S26" s="88">
        <f t="shared" si="12"/>
        <v>0</v>
      </c>
      <c r="T26" s="88">
        <f t="shared" si="10"/>
        <v>0</v>
      </c>
      <c r="U26" s="94">
        <f t="shared" si="2"/>
        <v>0</v>
      </c>
      <c r="V26" s="88"/>
      <c r="W26" s="88">
        <f t="shared" si="3"/>
        <v>0</v>
      </c>
      <c r="X26" s="88"/>
      <c r="Y26" s="84"/>
      <c r="Z26" s="84">
        <v>724000</v>
      </c>
    </row>
    <row r="27" spans="1:26" s="87" customFormat="1" x14ac:dyDescent="0.25">
      <c r="A27" s="84">
        <f t="shared" si="4"/>
        <v>22</v>
      </c>
      <c r="B27" s="84">
        <v>1560</v>
      </c>
      <c r="C27" s="84" t="s">
        <v>123</v>
      </c>
      <c r="D27" s="88">
        <f>3587000+73000</f>
        <v>3660000</v>
      </c>
      <c r="E27" s="88">
        <v>3587000</v>
      </c>
      <c r="F27" s="88">
        <f t="shared" si="0"/>
        <v>73000</v>
      </c>
      <c r="G27" s="88">
        <v>2180000</v>
      </c>
      <c r="H27" s="88">
        <v>1693893.47</v>
      </c>
      <c r="I27" s="88">
        <v>273982.71000000002</v>
      </c>
      <c r="J27" s="88"/>
      <c r="K27" s="88">
        <f t="shared" si="11"/>
        <v>273982.71000000002</v>
      </c>
      <c r="L27" s="88">
        <f t="shared" si="6"/>
        <v>1967876.18</v>
      </c>
      <c r="M27" s="88">
        <f t="shared" si="7"/>
        <v>212123.82000000007</v>
      </c>
      <c r="N27" s="88">
        <f>150000+700000+200000+430000-800000</f>
        <v>680000</v>
      </c>
      <c r="O27" s="88">
        <f t="shared" si="8"/>
        <v>800000</v>
      </c>
      <c r="P27" s="88">
        <f t="shared" si="9"/>
        <v>212123.82000000007</v>
      </c>
      <c r="Q27" s="88"/>
      <c r="R27" s="88"/>
      <c r="S27" s="88">
        <f t="shared" si="12"/>
        <v>0</v>
      </c>
      <c r="T27" s="88">
        <f t="shared" si="10"/>
        <v>0</v>
      </c>
      <c r="U27" s="94">
        <f t="shared" si="2"/>
        <v>680000</v>
      </c>
      <c r="V27" s="88">
        <v>430000</v>
      </c>
      <c r="W27" s="88">
        <f t="shared" si="3"/>
        <v>250000</v>
      </c>
      <c r="X27" s="88"/>
      <c r="Y27" s="84"/>
      <c r="Z27" s="84">
        <v>746000</v>
      </c>
    </row>
    <row r="28" spans="1:26" s="87" customFormat="1" ht="27.6" x14ac:dyDescent="0.25">
      <c r="A28" s="84">
        <f t="shared" si="4"/>
        <v>23</v>
      </c>
      <c r="B28" s="110">
        <v>1636</v>
      </c>
      <c r="C28" s="110" t="s">
        <v>441</v>
      </c>
      <c r="D28" s="111">
        <v>12450000</v>
      </c>
      <c r="E28" s="111">
        <v>12450000</v>
      </c>
      <c r="F28" s="111">
        <f t="shared" si="0"/>
        <v>0</v>
      </c>
      <c r="G28" s="111">
        <v>250000</v>
      </c>
      <c r="H28" s="111">
        <v>99176.7</v>
      </c>
      <c r="I28" s="111">
        <v>82184</v>
      </c>
      <c r="J28" s="111"/>
      <c r="K28" s="111">
        <f t="shared" si="11"/>
        <v>82184</v>
      </c>
      <c r="L28" s="111">
        <f t="shared" si="6"/>
        <v>181360.7</v>
      </c>
      <c r="M28" s="111">
        <f t="shared" si="7"/>
        <v>68639.299999999988</v>
      </c>
      <c r="N28" s="111"/>
      <c r="O28" s="111">
        <f t="shared" si="8"/>
        <v>12200000</v>
      </c>
      <c r="P28" s="111">
        <f t="shared" si="9"/>
        <v>68639.299999999988</v>
      </c>
      <c r="Q28" s="88"/>
      <c r="R28" s="88"/>
      <c r="S28" s="111">
        <f t="shared" si="12"/>
        <v>0</v>
      </c>
      <c r="T28" s="111">
        <f t="shared" si="10"/>
        <v>0</v>
      </c>
      <c r="U28" s="94">
        <f t="shared" si="2"/>
        <v>0</v>
      </c>
      <c r="V28" s="111"/>
      <c r="W28" s="88">
        <f t="shared" si="3"/>
        <v>0</v>
      </c>
      <c r="X28" s="111"/>
      <c r="Y28" s="110"/>
      <c r="Z28" s="110">
        <v>870000</v>
      </c>
    </row>
    <row r="29" spans="1:26" s="87" customFormat="1" x14ac:dyDescent="0.25">
      <c r="A29" s="84">
        <f t="shared" si="4"/>
        <v>24</v>
      </c>
      <c r="B29" s="84">
        <v>1655</v>
      </c>
      <c r="C29" s="84" t="s">
        <v>125</v>
      </c>
      <c r="D29" s="88">
        <f>1350000-44000</f>
        <v>1306000</v>
      </c>
      <c r="E29" s="88">
        <v>1350000</v>
      </c>
      <c r="F29" s="88">
        <f t="shared" si="0"/>
        <v>-44000</v>
      </c>
      <c r="G29" s="88">
        <v>1350000</v>
      </c>
      <c r="H29" s="88">
        <v>1275024.18</v>
      </c>
      <c r="I29" s="88">
        <v>30585.83</v>
      </c>
      <c r="J29" s="88"/>
      <c r="K29" s="88">
        <f t="shared" si="11"/>
        <v>30585.83</v>
      </c>
      <c r="L29" s="88">
        <f t="shared" si="6"/>
        <v>1305610.01</v>
      </c>
      <c r="M29" s="88">
        <f>P29+S29-44000</f>
        <v>389.98999999999069</v>
      </c>
      <c r="N29" s="88"/>
      <c r="O29" s="88">
        <f t="shared" si="8"/>
        <v>0</v>
      </c>
      <c r="P29" s="88">
        <f t="shared" si="9"/>
        <v>44389.989999999991</v>
      </c>
      <c r="Q29" s="88"/>
      <c r="R29" s="88"/>
      <c r="S29" s="88">
        <f t="shared" si="12"/>
        <v>0</v>
      </c>
      <c r="T29" s="88">
        <f t="shared" si="10"/>
        <v>44000</v>
      </c>
      <c r="U29" s="94">
        <f t="shared" si="2"/>
        <v>-44000</v>
      </c>
      <c r="V29" s="88"/>
      <c r="W29" s="88">
        <f t="shared" si="3"/>
        <v>-44000</v>
      </c>
      <c r="X29" s="88"/>
      <c r="Y29" s="84"/>
      <c r="Z29" s="84">
        <v>824000</v>
      </c>
    </row>
    <row r="30" spans="1:26" s="95" customFormat="1" x14ac:dyDescent="0.25">
      <c r="A30" s="84">
        <f t="shared" si="4"/>
        <v>25</v>
      </c>
      <c r="B30" s="93">
        <v>1662</v>
      </c>
      <c r="C30" s="93" t="s">
        <v>362</v>
      </c>
      <c r="D30" s="94">
        <f>525000</f>
        <v>525000</v>
      </c>
      <c r="E30" s="94">
        <v>525000</v>
      </c>
      <c r="F30" s="94">
        <f t="shared" si="0"/>
        <v>0</v>
      </c>
      <c r="G30" s="94">
        <v>425000</v>
      </c>
      <c r="H30" s="94">
        <v>2781.97</v>
      </c>
      <c r="I30" s="94">
        <v>14251</v>
      </c>
      <c r="J30" s="94"/>
      <c r="K30" s="94">
        <f t="shared" si="11"/>
        <v>14251</v>
      </c>
      <c r="L30" s="94">
        <f t="shared" si="6"/>
        <v>17032.97</v>
      </c>
      <c r="M30" s="94">
        <f t="shared" si="7"/>
        <v>407967.03</v>
      </c>
      <c r="N30" s="94"/>
      <c r="O30" s="94">
        <f t="shared" si="8"/>
        <v>100000</v>
      </c>
      <c r="P30" s="94">
        <f t="shared" si="9"/>
        <v>407967.03</v>
      </c>
      <c r="Q30" s="88"/>
      <c r="R30" s="88"/>
      <c r="S30" s="94">
        <f t="shared" si="12"/>
        <v>0</v>
      </c>
      <c r="T30" s="94">
        <f t="shared" si="10"/>
        <v>0</v>
      </c>
      <c r="U30" s="94">
        <f t="shared" si="2"/>
        <v>0</v>
      </c>
      <c r="V30" s="94"/>
      <c r="W30" s="88">
        <f t="shared" si="3"/>
        <v>0</v>
      </c>
      <c r="X30" s="94"/>
      <c r="Y30" s="93"/>
      <c r="Z30" s="93">
        <v>870000</v>
      </c>
    </row>
    <row r="31" spans="1:26" s="87" customFormat="1" x14ac:dyDescent="0.25">
      <c r="A31" s="84">
        <f t="shared" si="4"/>
        <v>26</v>
      </c>
      <c r="B31" s="84">
        <v>1676</v>
      </c>
      <c r="C31" s="84" t="s">
        <v>506</v>
      </c>
      <c r="D31" s="88">
        <v>43215000</v>
      </c>
      <c r="E31" s="88">
        <v>43215000</v>
      </c>
      <c r="F31" s="88">
        <f t="shared" si="0"/>
        <v>0</v>
      </c>
      <c r="G31" s="88">
        <v>43215000</v>
      </c>
      <c r="H31" s="88">
        <v>42035314.229999997</v>
      </c>
      <c r="I31" s="88">
        <v>102752.78</v>
      </c>
      <c r="J31" s="88">
        <v>529520.14</v>
      </c>
      <c r="K31" s="88">
        <f t="shared" si="11"/>
        <v>632272.92000000004</v>
      </c>
      <c r="L31" s="88">
        <f t="shared" si="6"/>
        <v>42667587.149999999</v>
      </c>
      <c r="M31" s="88">
        <f t="shared" si="7"/>
        <v>547412.85000000149</v>
      </c>
      <c r="N31" s="88"/>
      <c r="O31" s="88">
        <f t="shared" si="8"/>
        <v>0</v>
      </c>
      <c r="P31" s="88">
        <f t="shared" si="9"/>
        <v>547412.85000000149</v>
      </c>
      <c r="Q31" s="88"/>
      <c r="R31" s="88"/>
      <c r="S31" s="88">
        <f t="shared" si="12"/>
        <v>0</v>
      </c>
      <c r="T31" s="88">
        <f t="shared" si="10"/>
        <v>0</v>
      </c>
      <c r="U31" s="94">
        <f t="shared" si="2"/>
        <v>0</v>
      </c>
      <c r="V31" s="88"/>
      <c r="W31" s="88">
        <f t="shared" si="3"/>
        <v>0</v>
      </c>
      <c r="X31" s="88"/>
      <c r="Y31" s="84"/>
      <c r="Z31" s="84">
        <v>810000</v>
      </c>
    </row>
    <row r="32" spans="1:26" s="87" customFormat="1" x14ac:dyDescent="0.25">
      <c r="A32" s="84">
        <f t="shared" si="4"/>
        <v>27</v>
      </c>
      <c r="B32" s="84">
        <v>1677</v>
      </c>
      <c r="C32" s="84" t="s">
        <v>126</v>
      </c>
      <c r="D32" s="88">
        <v>19000000</v>
      </c>
      <c r="E32" s="88">
        <v>19000000</v>
      </c>
      <c r="F32" s="88">
        <f t="shared" si="0"/>
        <v>0</v>
      </c>
      <c r="G32" s="88">
        <v>19000000</v>
      </c>
      <c r="H32" s="88">
        <v>15431808.43</v>
      </c>
      <c r="I32" s="88">
        <v>2659116.7799999998</v>
      </c>
      <c r="J32" s="88">
        <v>840876.03</v>
      </c>
      <c r="K32" s="88">
        <f t="shared" si="11"/>
        <v>3499992.8099999996</v>
      </c>
      <c r="L32" s="88">
        <f t="shared" si="6"/>
        <v>18931801.239999998</v>
      </c>
      <c r="M32" s="88">
        <f t="shared" si="7"/>
        <v>68198.760000001639</v>
      </c>
      <c r="N32" s="88"/>
      <c r="O32" s="88">
        <f t="shared" si="8"/>
        <v>0</v>
      </c>
      <c r="P32" s="88">
        <f t="shared" si="9"/>
        <v>68198.760000001639</v>
      </c>
      <c r="Q32" s="88"/>
      <c r="R32" s="88"/>
      <c r="S32" s="88">
        <f t="shared" si="12"/>
        <v>0</v>
      </c>
      <c r="T32" s="88">
        <f t="shared" si="10"/>
        <v>0</v>
      </c>
      <c r="U32" s="94">
        <f t="shared" si="2"/>
        <v>0</v>
      </c>
      <c r="V32" s="88"/>
      <c r="W32" s="88">
        <f t="shared" si="3"/>
        <v>0</v>
      </c>
      <c r="X32" s="88"/>
      <c r="Y32" s="84"/>
      <c r="Z32" s="84">
        <v>810000</v>
      </c>
    </row>
    <row r="33" spans="1:26" s="87" customFormat="1" x14ac:dyDescent="0.25">
      <c r="A33" s="84">
        <f t="shared" si="4"/>
        <v>28</v>
      </c>
      <c r="B33" s="84">
        <v>1691</v>
      </c>
      <c r="C33" s="84" t="s">
        <v>507</v>
      </c>
      <c r="D33" s="88">
        <v>210000</v>
      </c>
      <c r="E33" s="88">
        <v>210000</v>
      </c>
      <c r="F33" s="88">
        <f t="shared" si="0"/>
        <v>0</v>
      </c>
      <c r="G33" s="88">
        <v>210000</v>
      </c>
      <c r="H33" s="88">
        <v>184253.53</v>
      </c>
      <c r="I33" s="88"/>
      <c r="J33" s="88"/>
      <c r="K33" s="88">
        <f t="shared" si="11"/>
        <v>0</v>
      </c>
      <c r="L33" s="88">
        <f t="shared" si="6"/>
        <v>184253.53</v>
      </c>
      <c r="M33" s="88">
        <f t="shared" si="7"/>
        <v>25746.47</v>
      </c>
      <c r="N33" s="88"/>
      <c r="O33" s="88">
        <f t="shared" si="8"/>
        <v>0</v>
      </c>
      <c r="P33" s="88">
        <f t="shared" si="9"/>
        <v>25746.47</v>
      </c>
      <c r="Q33" s="88"/>
      <c r="R33" s="88"/>
      <c r="S33" s="88">
        <f t="shared" si="12"/>
        <v>0</v>
      </c>
      <c r="T33" s="88">
        <f t="shared" si="10"/>
        <v>0</v>
      </c>
      <c r="U33" s="94">
        <f t="shared" si="2"/>
        <v>0</v>
      </c>
      <c r="V33" s="88"/>
      <c r="W33" s="88">
        <f t="shared" ref="W33:W63" si="13">U33-V33-X33-Y33</f>
        <v>0</v>
      </c>
      <c r="X33" s="88"/>
      <c r="Y33" s="84"/>
      <c r="Z33" s="84">
        <v>810000</v>
      </c>
    </row>
    <row r="34" spans="1:26" s="95" customFormat="1" x14ac:dyDescent="0.25">
      <c r="A34" s="84">
        <f t="shared" si="4"/>
        <v>29</v>
      </c>
      <c r="B34" s="84">
        <v>1698</v>
      </c>
      <c r="C34" s="84" t="s">
        <v>128</v>
      </c>
      <c r="D34" s="88">
        <v>400000</v>
      </c>
      <c r="E34" s="88">
        <v>400000</v>
      </c>
      <c r="F34" s="88">
        <f t="shared" si="0"/>
        <v>0</v>
      </c>
      <c r="G34" s="88">
        <v>400000</v>
      </c>
      <c r="H34" s="88">
        <v>187137</v>
      </c>
      <c r="I34" s="88">
        <v>212832</v>
      </c>
      <c r="J34" s="88"/>
      <c r="K34" s="88">
        <f t="shared" si="11"/>
        <v>212832</v>
      </c>
      <c r="L34" s="88">
        <f t="shared" si="6"/>
        <v>399969</v>
      </c>
      <c r="M34" s="88">
        <f t="shared" si="7"/>
        <v>31</v>
      </c>
      <c r="N34" s="88"/>
      <c r="O34" s="88">
        <f t="shared" si="8"/>
        <v>0</v>
      </c>
      <c r="P34" s="88">
        <f t="shared" si="9"/>
        <v>31</v>
      </c>
      <c r="Q34" s="88"/>
      <c r="R34" s="88"/>
      <c r="S34" s="88">
        <f t="shared" si="12"/>
        <v>0</v>
      </c>
      <c r="T34" s="88">
        <f t="shared" si="10"/>
        <v>0</v>
      </c>
      <c r="U34" s="94">
        <f t="shared" si="2"/>
        <v>0</v>
      </c>
      <c r="V34" s="88"/>
      <c r="W34" s="88">
        <f t="shared" si="13"/>
        <v>0</v>
      </c>
      <c r="X34" s="88"/>
      <c r="Y34" s="84"/>
      <c r="Z34" s="84">
        <v>743000</v>
      </c>
    </row>
    <row r="35" spans="1:26" s="87" customFormat="1" x14ac:dyDescent="0.25">
      <c r="A35" s="84">
        <f t="shared" si="4"/>
        <v>30</v>
      </c>
      <c r="B35" s="84">
        <v>1699</v>
      </c>
      <c r="C35" s="84" t="s">
        <v>129</v>
      </c>
      <c r="D35" s="88">
        <f>3130000-120000</f>
        <v>3010000</v>
      </c>
      <c r="E35" s="88">
        <v>3130000</v>
      </c>
      <c r="F35" s="88">
        <f t="shared" si="0"/>
        <v>-120000</v>
      </c>
      <c r="G35" s="88">
        <v>3130000</v>
      </c>
      <c r="H35" s="88">
        <v>2993334.65</v>
      </c>
      <c r="I35" s="88"/>
      <c r="J35" s="88">
        <v>16520</v>
      </c>
      <c r="K35" s="88">
        <f t="shared" si="11"/>
        <v>16520</v>
      </c>
      <c r="L35" s="88">
        <f t="shared" si="6"/>
        <v>3009854.65</v>
      </c>
      <c r="M35" s="88">
        <f>P35+S35-120000</f>
        <v>145.35000000009313</v>
      </c>
      <c r="N35" s="88"/>
      <c r="O35" s="88">
        <f t="shared" si="8"/>
        <v>0</v>
      </c>
      <c r="P35" s="88">
        <f t="shared" si="9"/>
        <v>120145.35000000009</v>
      </c>
      <c r="Q35" s="88"/>
      <c r="R35" s="88"/>
      <c r="S35" s="88">
        <f t="shared" si="12"/>
        <v>0</v>
      </c>
      <c r="T35" s="88">
        <f t="shared" si="10"/>
        <v>120000</v>
      </c>
      <c r="U35" s="94">
        <f t="shared" si="2"/>
        <v>-120000</v>
      </c>
      <c r="V35" s="88"/>
      <c r="W35" s="88">
        <f t="shared" si="13"/>
        <v>-120000</v>
      </c>
      <c r="X35" s="88"/>
      <c r="Y35" s="84"/>
      <c r="Z35" s="84">
        <v>817300</v>
      </c>
    </row>
    <row r="36" spans="1:26" s="87" customFormat="1" x14ac:dyDescent="0.25">
      <c r="A36" s="84">
        <f t="shared" si="4"/>
        <v>31</v>
      </c>
      <c r="B36" s="84">
        <v>1703</v>
      </c>
      <c r="C36" s="84" t="s">
        <v>130</v>
      </c>
      <c r="D36" s="88">
        <f>550000-31000</f>
        <v>519000</v>
      </c>
      <c r="E36" s="88">
        <v>550000</v>
      </c>
      <c r="F36" s="88">
        <f t="shared" si="0"/>
        <v>-31000</v>
      </c>
      <c r="G36" s="88">
        <v>550000</v>
      </c>
      <c r="H36" s="88">
        <v>517511.31</v>
      </c>
      <c r="I36" s="88">
        <v>839.4</v>
      </c>
      <c r="J36" s="88"/>
      <c r="K36" s="88">
        <f t="shared" si="11"/>
        <v>839.4</v>
      </c>
      <c r="L36" s="88">
        <f t="shared" si="6"/>
        <v>518350.71</v>
      </c>
      <c r="M36" s="88">
        <f>P36+S36-31000</f>
        <v>649.28999999997905</v>
      </c>
      <c r="N36" s="88"/>
      <c r="O36" s="88">
        <f t="shared" si="8"/>
        <v>0</v>
      </c>
      <c r="P36" s="88">
        <f t="shared" si="9"/>
        <v>31649.289999999979</v>
      </c>
      <c r="Q36" s="88"/>
      <c r="R36" s="88"/>
      <c r="S36" s="88">
        <f t="shared" si="12"/>
        <v>0</v>
      </c>
      <c r="T36" s="88">
        <f t="shared" si="10"/>
        <v>31000</v>
      </c>
      <c r="U36" s="94">
        <f t="shared" si="2"/>
        <v>-31000</v>
      </c>
      <c r="V36" s="88"/>
      <c r="W36" s="88">
        <f t="shared" si="13"/>
        <v>-31000</v>
      </c>
      <c r="X36" s="88"/>
      <c r="Y36" s="84"/>
      <c r="Z36" s="84">
        <v>810000</v>
      </c>
    </row>
    <row r="37" spans="1:26" s="87" customFormat="1" x14ac:dyDescent="0.25">
      <c r="A37" s="84">
        <f t="shared" si="4"/>
        <v>32</v>
      </c>
      <c r="B37" s="84">
        <v>1711</v>
      </c>
      <c r="C37" s="84" t="s">
        <v>131</v>
      </c>
      <c r="D37" s="88">
        <f>215000+210000</f>
        <v>425000</v>
      </c>
      <c r="E37" s="88">
        <v>215000</v>
      </c>
      <c r="F37" s="88">
        <f t="shared" si="0"/>
        <v>210000</v>
      </c>
      <c r="G37" s="88">
        <v>215000</v>
      </c>
      <c r="H37" s="88">
        <v>184663.4</v>
      </c>
      <c r="I37" s="88">
        <v>30134.04</v>
      </c>
      <c r="J37" s="88"/>
      <c r="K37" s="88">
        <f t="shared" si="11"/>
        <v>30134.04</v>
      </c>
      <c r="L37" s="88">
        <f t="shared" si="6"/>
        <v>214797.44</v>
      </c>
      <c r="M37" s="88">
        <f t="shared" si="7"/>
        <v>202.55999999999767</v>
      </c>
      <c r="N37" s="88">
        <v>210000</v>
      </c>
      <c r="O37" s="88">
        <f t="shared" si="8"/>
        <v>0</v>
      </c>
      <c r="P37" s="88">
        <f t="shared" si="9"/>
        <v>202.55999999999767</v>
      </c>
      <c r="Q37" s="88"/>
      <c r="R37" s="88"/>
      <c r="S37" s="88">
        <f t="shared" si="12"/>
        <v>0</v>
      </c>
      <c r="T37" s="88">
        <f t="shared" si="10"/>
        <v>0</v>
      </c>
      <c r="U37" s="94">
        <f t="shared" si="2"/>
        <v>210000</v>
      </c>
      <c r="V37" s="88">
        <v>110000</v>
      </c>
      <c r="W37" s="88">
        <f t="shared" si="13"/>
        <v>100000</v>
      </c>
      <c r="X37" s="88"/>
      <c r="Y37" s="84"/>
      <c r="Z37" s="84">
        <v>810000</v>
      </c>
    </row>
    <row r="38" spans="1:26" s="95" customFormat="1" x14ac:dyDescent="0.25">
      <c r="A38" s="84">
        <f t="shared" si="4"/>
        <v>33</v>
      </c>
      <c r="B38" s="84">
        <v>1713</v>
      </c>
      <c r="C38" s="84" t="s">
        <v>132</v>
      </c>
      <c r="D38" s="88">
        <v>300000</v>
      </c>
      <c r="E38" s="88">
        <v>300000</v>
      </c>
      <c r="F38" s="88">
        <f t="shared" si="0"/>
        <v>0</v>
      </c>
      <c r="G38" s="88">
        <v>300000</v>
      </c>
      <c r="H38" s="88">
        <v>253550.3</v>
      </c>
      <c r="I38" s="88">
        <v>46449</v>
      </c>
      <c r="J38" s="88"/>
      <c r="K38" s="88">
        <f t="shared" si="11"/>
        <v>46449</v>
      </c>
      <c r="L38" s="88">
        <f t="shared" si="6"/>
        <v>299999.3</v>
      </c>
      <c r="M38" s="88">
        <f t="shared" si="7"/>
        <v>0.70000000001164153</v>
      </c>
      <c r="N38" s="88"/>
      <c r="O38" s="88">
        <f t="shared" si="8"/>
        <v>0</v>
      </c>
      <c r="P38" s="88">
        <f t="shared" si="9"/>
        <v>0.70000000001164153</v>
      </c>
      <c r="Q38" s="88"/>
      <c r="R38" s="88"/>
      <c r="S38" s="88">
        <f t="shared" si="12"/>
        <v>0</v>
      </c>
      <c r="T38" s="88">
        <f t="shared" si="10"/>
        <v>0</v>
      </c>
      <c r="U38" s="94">
        <f t="shared" si="2"/>
        <v>0</v>
      </c>
      <c r="V38" s="88"/>
      <c r="W38" s="88">
        <f t="shared" si="13"/>
        <v>0</v>
      </c>
      <c r="X38" s="88"/>
      <c r="Y38" s="84"/>
      <c r="Z38" s="84">
        <v>743000</v>
      </c>
    </row>
    <row r="39" spans="1:26" s="87" customFormat="1" x14ac:dyDescent="0.25">
      <c r="A39" s="84">
        <f t="shared" si="4"/>
        <v>34</v>
      </c>
      <c r="B39" s="84">
        <v>1733</v>
      </c>
      <c r="C39" s="84" t="s">
        <v>133</v>
      </c>
      <c r="D39" s="88">
        <f>1255000-62000</f>
        <v>1193000</v>
      </c>
      <c r="E39" s="88">
        <v>1255000</v>
      </c>
      <c r="F39" s="88">
        <f t="shared" ref="F39:F45" si="14">D39-E39</f>
        <v>-62000</v>
      </c>
      <c r="G39" s="88">
        <v>1255000</v>
      </c>
      <c r="H39" s="88">
        <v>1117321.78</v>
      </c>
      <c r="I39" s="88">
        <v>75128.47</v>
      </c>
      <c r="J39" s="88"/>
      <c r="K39" s="88">
        <f t="shared" si="11"/>
        <v>75128.47</v>
      </c>
      <c r="L39" s="88">
        <f t="shared" si="6"/>
        <v>1192450.25</v>
      </c>
      <c r="M39" s="88">
        <f>P39+S39-62000</f>
        <v>549.75</v>
      </c>
      <c r="N39" s="88"/>
      <c r="O39" s="88">
        <f t="shared" si="8"/>
        <v>0</v>
      </c>
      <c r="P39" s="88">
        <f t="shared" si="9"/>
        <v>62549.75</v>
      </c>
      <c r="Q39" s="88"/>
      <c r="R39" s="88"/>
      <c r="S39" s="88">
        <f t="shared" si="12"/>
        <v>0</v>
      </c>
      <c r="T39" s="88">
        <f t="shared" si="10"/>
        <v>62000</v>
      </c>
      <c r="U39" s="94">
        <f t="shared" si="2"/>
        <v>-62000</v>
      </c>
      <c r="V39" s="88"/>
      <c r="W39" s="88">
        <f t="shared" si="13"/>
        <v>-62000</v>
      </c>
      <c r="X39" s="88"/>
      <c r="Y39" s="84"/>
      <c r="Z39" s="84">
        <v>810000</v>
      </c>
    </row>
    <row r="40" spans="1:26" s="87" customFormat="1" x14ac:dyDescent="0.25">
      <c r="A40" s="84">
        <f t="shared" si="4"/>
        <v>35</v>
      </c>
      <c r="B40" s="110">
        <v>1767</v>
      </c>
      <c r="C40" s="110" t="s">
        <v>442</v>
      </c>
      <c r="D40" s="111">
        <f>2300000-1000000</f>
        <v>1300000</v>
      </c>
      <c r="E40" s="111">
        <v>1300000</v>
      </c>
      <c r="F40" s="88">
        <f t="shared" si="14"/>
        <v>0</v>
      </c>
      <c r="G40" s="111">
        <f>300000+200000</f>
        <v>500000</v>
      </c>
      <c r="H40" s="111">
        <v>276723</v>
      </c>
      <c r="I40" s="111">
        <v>149860</v>
      </c>
      <c r="J40" s="111"/>
      <c r="K40" s="111">
        <f t="shared" si="11"/>
        <v>149860</v>
      </c>
      <c r="L40" s="111">
        <f t="shared" si="6"/>
        <v>426583</v>
      </c>
      <c r="M40" s="111">
        <f>P40+S40</f>
        <v>873417</v>
      </c>
      <c r="N40" s="111"/>
      <c r="O40" s="111">
        <f t="shared" si="8"/>
        <v>0</v>
      </c>
      <c r="P40" s="111">
        <f t="shared" si="9"/>
        <v>73417</v>
      </c>
      <c r="Q40" s="88"/>
      <c r="R40" s="199">
        <f>1000000-200000</f>
        <v>800000</v>
      </c>
      <c r="S40" s="88">
        <f t="shared" si="12"/>
        <v>800000</v>
      </c>
      <c r="T40" s="111">
        <f t="shared" si="10"/>
        <v>0</v>
      </c>
      <c r="U40" s="94">
        <f t="shared" si="2"/>
        <v>0</v>
      </c>
      <c r="V40" s="111"/>
      <c r="W40" s="88">
        <f t="shared" si="13"/>
        <v>0</v>
      </c>
      <c r="X40" s="111"/>
      <c r="Y40" s="110"/>
      <c r="Z40" s="110">
        <v>810000</v>
      </c>
    </row>
    <row r="41" spans="1:26" s="87" customFormat="1" x14ac:dyDescent="0.25">
      <c r="A41" s="84">
        <f t="shared" si="4"/>
        <v>36</v>
      </c>
      <c r="B41" s="84">
        <v>1768</v>
      </c>
      <c r="C41" s="84" t="s">
        <v>134</v>
      </c>
      <c r="D41" s="88">
        <v>1430000</v>
      </c>
      <c r="E41" s="88">
        <v>1430000</v>
      </c>
      <c r="F41" s="88">
        <f t="shared" si="14"/>
        <v>0</v>
      </c>
      <c r="G41" s="88">
        <v>1430000</v>
      </c>
      <c r="H41" s="88">
        <v>664504.73</v>
      </c>
      <c r="I41" s="88">
        <v>1638</v>
      </c>
      <c r="J41" s="88">
        <v>437195.78</v>
      </c>
      <c r="K41" s="88">
        <f t="shared" si="11"/>
        <v>438833.78</v>
      </c>
      <c r="L41" s="88">
        <f t="shared" si="6"/>
        <v>1103338.51</v>
      </c>
      <c r="M41" s="88">
        <f t="shared" si="7"/>
        <v>326661.49</v>
      </c>
      <c r="N41" s="88"/>
      <c r="O41" s="88">
        <f t="shared" si="8"/>
        <v>0</v>
      </c>
      <c r="P41" s="88">
        <f t="shared" si="9"/>
        <v>326661.49</v>
      </c>
      <c r="Q41" s="88"/>
      <c r="R41" s="88"/>
      <c r="S41" s="88">
        <f t="shared" si="12"/>
        <v>0</v>
      </c>
      <c r="T41" s="88">
        <f t="shared" si="10"/>
        <v>0</v>
      </c>
      <c r="U41" s="94">
        <f t="shared" si="2"/>
        <v>0</v>
      </c>
      <c r="V41" s="88"/>
      <c r="W41" s="88">
        <f t="shared" si="13"/>
        <v>0</v>
      </c>
      <c r="X41" s="88"/>
      <c r="Y41" s="84"/>
      <c r="Z41" s="84">
        <v>810000</v>
      </c>
    </row>
    <row r="42" spans="1:26" s="87" customFormat="1" x14ac:dyDescent="0.25">
      <c r="A42" s="84">
        <f t="shared" si="4"/>
        <v>37</v>
      </c>
      <c r="B42" s="84">
        <v>1769</v>
      </c>
      <c r="C42" s="84" t="s">
        <v>135</v>
      </c>
      <c r="D42" s="88">
        <f>5000000-130000</f>
        <v>4870000</v>
      </c>
      <c r="E42" s="88">
        <v>5000000</v>
      </c>
      <c r="F42" s="88">
        <f t="shared" si="14"/>
        <v>-130000</v>
      </c>
      <c r="G42" s="88">
        <v>5000000</v>
      </c>
      <c r="H42" s="88">
        <v>4590469.59</v>
      </c>
      <c r="I42" s="88">
        <v>9440.49</v>
      </c>
      <c r="J42" s="88">
        <v>263287.28999999998</v>
      </c>
      <c r="K42" s="88">
        <f t="shared" si="11"/>
        <v>272727.77999999997</v>
      </c>
      <c r="L42" s="88">
        <f t="shared" si="6"/>
        <v>4863197.37</v>
      </c>
      <c r="M42" s="88">
        <f>P42+S42-130000</f>
        <v>6802.6299999998882</v>
      </c>
      <c r="N42" s="88"/>
      <c r="O42" s="88">
        <f t="shared" si="8"/>
        <v>0</v>
      </c>
      <c r="P42" s="88">
        <f t="shared" si="9"/>
        <v>136802.62999999989</v>
      </c>
      <c r="Q42" s="88"/>
      <c r="R42" s="88"/>
      <c r="S42" s="88">
        <f t="shared" si="12"/>
        <v>0</v>
      </c>
      <c r="T42" s="88">
        <f t="shared" si="10"/>
        <v>130000</v>
      </c>
      <c r="U42" s="94">
        <f t="shared" si="2"/>
        <v>-130000</v>
      </c>
      <c r="V42" s="88"/>
      <c r="W42" s="88">
        <f t="shared" si="13"/>
        <v>-130000</v>
      </c>
      <c r="X42" s="88"/>
      <c r="Y42" s="84"/>
      <c r="Z42" s="84">
        <v>810000</v>
      </c>
    </row>
    <row r="43" spans="1:26" s="87" customFormat="1" x14ac:dyDescent="0.25">
      <c r="A43" s="84">
        <f t="shared" si="4"/>
        <v>38</v>
      </c>
      <c r="B43" s="110">
        <v>1770</v>
      </c>
      <c r="C43" s="110" t="s">
        <v>453</v>
      </c>
      <c r="D43" s="111">
        <v>29520000</v>
      </c>
      <c r="E43" s="111">
        <v>29520000</v>
      </c>
      <c r="F43" s="111">
        <f t="shared" si="14"/>
        <v>0</v>
      </c>
      <c r="G43" s="111">
        <f>25158580+770000+1301420</f>
        <v>27230000</v>
      </c>
      <c r="H43" s="111">
        <v>13791020</v>
      </c>
      <c r="I43" s="111">
        <v>1104693</v>
      </c>
      <c r="J43" s="111">
        <v>10745214</v>
      </c>
      <c r="K43" s="111">
        <f t="shared" si="11"/>
        <v>11849907</v>
      </c>
      <c r="L43" s="111">
        <f>H43+K43</f>
        <v>25640927</v>
      </c>
      <c r="M43" s="111">
        <f t="shared" si="7"/>
        <v>3879073</v>
      </c>
      <c r="N43" s="111"/>
      <c r="O43" s="111">
        <f t="shared" si="8"/>
        <v>0</v>
      </c>
      <c r="P43" s="111">
        <f t="shared" si="9"/>
        <v>1589073</v>
      </c>
      <c r="Q43" s="88"/>
      <c r="R43" s="88">
        <v>2290000</v>
      </c>
      <c r="S43" s="111">
        <f t="shared" si="12"/>
        <v>2290000</v>
      </c>
      <c r="T43" s="111">
        <f t="shared" si="10"/>
        <v>0</v>
      </c>
      <c r="U43" s="94">
        <f t="shared" si="2"/>
        <v>0</v>
      </c>
      <c r="V43" s="111"/>
      <c r="W43" s="88">
        <f t="shared" si="13"/>
        <v>0</v>
      </c>
      <c r="X43" s="111"/>
      <c r="Y43" s="110"/>
      <c r="Z43" s="110">
        <v>810000</v>
      </c>
    </row>
    <row r="44" spans="1:26" s="87" customFormat="1" x14ac:dyDescent="0.25">
      <c r="A44" s="84">
        <f t="shared" si="4"/>
        <v>39</v>
      </c>
      <c r="B44" s="84">
        <v>1771</v>
      </c>
      <c r="C44" s="84" t="s">
        <v>276</v>
      </c>
      <c r="D44" s="88">
        <f>3500000-230000</f>
        <v>3270000</v>
      </c>
      <c r="E44" s="88">
        <v>3500000</v>
      </c>
      <c r="F44" s="88">
        <f t="shared" si="14"/>
        <v>-230000</v>
      </c>
      <c r="G44" s="88">
        <v>3500000</v>
      </c>
      <c r="H44" s="88">
        <v>3256302.82</v>
      </c>
      <c r="I44" s="88">
        <v>11800</v>
      </c>
      <c r="J44" s="88"/>
      <c r="K44" s="88">
        <f t="shared" si="11"/>
        <v>11800</v>
      </c>
      <c r="L44" s="88">
        <f t="shared" si="6"/>
        <v>3268102.82</v>
      </c>
      <c r="M44" s="88">
        <f>P44+S44-230000</f>
        <v>1897.1800000001676</v>
      </c>
      <c r="N44" s="88"/>
      <c r="O44" s="88">
        <f t="shared" si="8"/>
        <v>0</v>
      </c>
      <c r="P44" s="88">
        <f t="shared" si="9"/>
        <v>231897.18000000017</v>
      </c>
      <c r="Q44" s="88"/>
      <c r="R44" s="88"/>
      <c r="S44" s="88">
        <f t="shared" si="12"/>
        <v>0</v>
      </c>
      <c r="T44" s="88">
        <f t="shared" si="10"/>
        <v>230000</v>
      </c>
      <c r="U44" s="94">
        <f t="shared" si="2"/>
        <v>-230000</v>
      </c>
      <c r="V44" s="88"/>
      <c r="W44" s="88">
        <f t="shared" si="13"/>
        <v>-230000</v>
      </c>
      <c r="X44" s="88"/>
      <c r="Y44" s="84"/>
      <c r="Z44" s="84">
        <v>810000</v>
      </c>
    </row>
    <row r="45" spans="1:26" s="87" customFormat="1" x14ac:dyDescent="0.25">
      <c r="A45" s="84">
        <f t="shared" si="4"/>
        <v>40</v>
      </c>
      <c r="B45" s="93">
        <v>1773</v>
      </c>
      <c r="C45" s="93" t="s">
        <v>264</v>
      </c>
      <c r="D45" s="94">
        <v>1000000</v>
      </c>
      <c r="E45" s="88">
        <v>1000000</v>
      </c>
      <c r="F45" s="88">
        <f t="shared" si="14"/>
        <v>0</v>
      </c>
      <c r="G45" s="88">
        <v>500000</v>
      </c>
      <c r="H45" s="88">
        <v>0</v>
      </c>
      <c r="I45" s="88"/>
      <c r="J45" s="88"/>
      <c r="K45" s="88">
        <f t="shared" si="11"/>
        <v>0</v>
      </c>
      <c r="L45" s="88">
        <f t="shared" si="6"/>
        <v>0</v>
      </c>
      <c r="M45" s="88">
        <f t="shared" si="7"/>
        <v>500000</v>
      </c>
      <c r="N45" s="88"/>
      <c r="O45" s="88">
        <f t="shared" si="8"/>
        <v>500000</v>
      </c>
      <c r="P45" s="88">
        <f t="shared" si="9"/>
        <v>500000</v>
      </c>
      <c r="Q45" s="88"/>
      <c r="R45" s="88"/>
      <c r="S45" s="88">
        <f t="shared" si="12"/>
        <v>0</v>
      </c>
      <c r="T45" s="88">
        <f t="shared" si="10"/>
        <v>0</v>
      </c>
      <c r="U45" s="94">
        <f t="shared" si="2"/>
        <v>0</v>
      </c>
      <c r="V45" s="88"/>
      <c r="W45" s="88">
        <f t="shared" si="13"/>
        <v>0</v>
      </c>
      <c r="X45" s="88"/>
      <c r="Y45" s="84"/>
      <c r="Z45" s="84">
        <v>746000</v>
      </c>
    </row>
    <row r="46" spans="1:26" s="87" customFormat="1" x14ac:dyDescent="0.25">
      <c r="A46" s="84">
        <f t="shared" si="4"/>
        <v>41</v>
      </c>
      <c r="B46" s="84">
        <v>1794</v>
      </c>
      <c r="C46" s="84" t="s">
        <v>291</v>
      </c>
      <c r="D46" s="88">
        <v>380000</v>
      </c>
      <c r="E46" s="88">
        <v>380000</v>
      </c>
      <c r="F46" s="88">
        <f t="shared" ref="F46:F58" si="15">D46-E46</f>
        <v>0</v>
      </c>
      <c r="G46" s="88">
        <v>380000</v>
      </c>
      <c r="H46" s="88">
        <v>0</v>
      </c>
      <c r="I46" s="88">
        <v>379940.62</v>
      </c>
      <c r="J46" s="88"/>
      <c r="K46" s="88">
        <f t="shared" si="11"/>
        <v>379940.62</v>
      </c>
      <c r="L46" s="88">
        <f t="shared" si="6"/>
        <v>379940.62</v>
      </c>
      <c r="M46" s="88">
        <f t="shared" si="7"/>
        <v>59.380000000004657</v>
      </c>
      <c r="N46" s="88"/>
      <c r="O46" s="88">
        <f t="shared" si="8"/>
        <v>0</v>
      </c>
      <c r="P46" s="88">
        <f t="shared" si="9"/>
        <v>59.380000000004657</v>
      </c>
      <c r="Q46" s="88"/>
      <c r="R46" s="88"/>
      <c r="S46" s="88">
        <f t="shared" si="12"/>
        <v>0</v>
      </c>
      <c r="T46" s="88">
        <f t="shared" si="10"/>
        <v>0</v>
      </c>
      <c r="U46" s="94">
        <f t="shared" si="2"/>
        <v>0</v>
      </c>
      <c r="V46" s="88"/>
      <c r="W46" s="88">
        <f t="shared" si="13"/>
        <v>0</v>
      </c>
      <c r="X46" s="88"/>
      <c r="Y46" s="84"/>
      <c r="Z46" s="84">
        <v>850000</v>
      </c>
    </row>
    <row r="47" spans="1:26" s="87" customFormat="1" x14ac:dyDescent="0.25">
      <c r="A47" s="84">
        <f t="shared" si="4"/>
        <v>42</v>
      </c>
      <c r="B47" s="84">
        <v>1795</v>
      </c>
      <c r="C47" s="84" t="s">
        <v>292</v>
      </c>
      <c r="D47" s="88">
        <v>1268000</v>
      </c>
      <c r="E47" s="88">
        <v>1268000</v>
      </c>
      <c r="F47" s="88">
        <f t="shared" si="15"/>
        <v>0</v>
      </c>
      <c r="G47" s="88">
        <v>1268000</v>
      </c>
      <c r="H47" s="88">
        <v>1114076</v>
      </c>
      <c r="I47" s="88">
        <v>123786</v>
      </c>
      <c r="J47" s="88">
        <v>28950</v>
      </c>
      <c r="K47" s="88">
        <f t="shared" si="11"/>
        <v>152736</v>
      </c>
      <c r="L47" s="88">
        <f t="shared" si="6"/>
        <v>1266812</v>
      </c>
      <c r="M47" s="88">
        <f>P47+S47+S47</f>
        <v>1188</v>
      </c>
      <c r="N47" s="88"/>
      <c r="O47" s="88">
        <f t="shared" si="8"/>
        <v>0</v>
      </c>
      <c r="P47" s="88">
        <f t="shared" si="9"/>
        <v>1188</v>
      </c>
      <c r="Q47" s="88"/>
      <c r="R47" s="88"/>
      <c r="S47" s="88">
        <f t="shared" si="12"/>
        <v>0</v>
      </c>
      <c r="T47" s="88">
        <f t="shared" si="10"/>
        <v>0</v>
      </c>
      <c r="U47" s="94">
        <f t="shared" si="2"/>
        <v>0</v>
      </c>
      <c r="V47" s="88"/>
      <c r="W47" s="88">
        <f t="shared" si="13"/>
        <v>0</v>
      </c>
      <c r="X47" s="88"/>
      <c r="Y47" s="84"/>
      <c r="Z47" s="84">
        <v>870000</v>
      </c>
    </row>
    <row r="48" spans="1:26" s="87" customFormat="1" x14ac:dyDescent="0.25">
      <c r="A48" s="84">
        <f t="shared" si="4"/>
        <v>43</v>
      </c>
      <c r="B48" s="93">
        <v>1800</v>
      </c>
      <c r="C48" s="93" t="s">
        <v>293</v>
      </c>
      <c r="D48" s="94">
        <v>600000</v>
      </c>
      <c r="E48" s="88">
        <v>600000</v>
      </c>
      <c r="F48" s="88">
        <f t="shared" si="15"/>
        <v>0</v>
      </c>
      <c r="G48" s="88">
        <v>600000</v>
      </c>
      <c r="H48" s="88">
        <v>426898.02</v>
      </c>
      <c r="I48" s="88">
        <v>173000</v>
      </c>
      <c r="J48" s="88"/>
      <c r="K48" s="88">
        <f t="shared" si="11"/>
        <v>173000</v>
      </c>
      <c r="L48" s="88">
        <f t="shared" si="6"/>
        <v>599898.02</v>
      </c>
      <c r="M48" s="88">
        <f t="shared" si="7"/>
        <v>101.97999999998137</v>
      </c>
      <c r="N48" s="88"/>
      <c r="O48" s="88">
        <f t="shared" si="8"/>
        <v>0</v>
      </c>
      <c r="P48" s="88">
        <f t="shared" si="9"/>
        <v>101.97999999998137</v>
      </c>
      <c r="Q48" s="88"/>
      <c r="R48" s="88"/>
      <c r="S48" s="88">
        <f t="shared" si="12"/>
        <v>0</v>
      </c>
      <c r="T48" s="88">
        <f t="shared" si="10"/>
        <v>0</v>
      </c>
      <c r="U48" s="94">
        <f t="shared" si="2"/>
        <v>0</v>
      </c>
      <c r="V48" s="88"/>
      <c r="W48" s="88">
        <f t="shared" si="13"/>
        <v>0</v>
      </c>
      <c r="X48" s="88"/>
      <c r="Y48" s="84"/>
      <c r="Z48" s="84">
        <v>930000</v>
      </c>
    </row>
    <row r="49" spans="1:26" s="87" customFormat="1" x14ac:dyDescent="0.25">
      <c r="A49" s="84">
        <f t="shared" si="4"/>
        <v>44</v>
      </c>
      <c r="B49" s="84">
        <v>1821</v>
      </c>
      <c r="C49" s="84" t="s">
        <v>341</v>
      </c>
      <c r="D49" s="88">
        <v>170000</v>
      </c>
      <c r="E49" s="88">
        <v>170000</v>
      </c>
      <c r="F49" s="88">
        <f t="shared" si="15"/>
        <v>0</v>
      </c>
      <c r="G49" s="88">
        <v>170000</v>
      </c>
      <c r="H49" s="88">
        <v>55000</v>
      </c>
      <c r="I49" s="88">
        <v>42660.54</v>
      </c>
      <c r="J49" s="88"/>
      <c r="K49" s="88">
        <f t="shared" si="11"/>
        <v>42660.54</v>
      </c>
      <c r="L49" s="88">
        <f t="shared" si="6"/>
        <v>97660.540000000008</v>
      </c>
      <c r="M49" s="88">
        <f t="shared" si="7"/>
        <v>72339.459999999992</v>
      </c>
      <c r="N49" s="88"/>
      <c r="O49" s="88">
        <f t="shared" si="8"/>
        <v>0</v>
      </c>
      <c r="P49" s="88">
        <f t="shared" si="9"/>
        <v>72339.459999999992</v>
      </c>
      <c r="Q49" s="88"/>
      <c r="R49" s="88"/>
      <c r="S49" s="88">
        <f t="shared" si="12"/>
        <v>0</v>
      </c>
      <c r="T49" s="88">
        <f t="shared" si="10"/>
        <v>0</v>
      </c>
      <c r="U49" s="94">
        <f t="shared" si="2"/>
        <v>0</v>
      </c>
      <c r="V49" s="88"/>
      <c r="W49" s="88">
        <f t="shared" si="13"/>
        <v>0</v>
      </c>
      <c r="X49" s="88"/>
      <c r="Y49" s="84"/>
      <c r="Z49" s="84">
        <v>810000</v>
      </c>
    </row>
    <row r="50" spans="1:26" s="87" customFormat="1" x14ac:dyDescent="0.25">
      <c r="A50" s="84">
        <f t="shared" si="4"/>
        <v>45</v>
      </c>
      <c r="B50" s="84">
        <v>1824</v>
      </c>
      <c r="C50" s="84" t="s">
        <v>342</v>
      </c>
      <c r="D50" s="88">
        <f>1500000-500000</f>
        <v>1000000</v>
      </c>
      <c r="E50" s="88">
        <v>1000000</v>
      </c>
      <c r="F50" s="88">
        <f t="shared" si="15"/>
        <v>0</v>
      </c>
      <c r="G50" s="88">
        <v>100000</v>
      </c>
      <c r="H50" s="88">
        <v>0</v>
      </c>
      <c r="I50" s="88">
        <v>99000</v>
      </c>
      <c r="J50" s="88"/>
      <c r="K50" s="88">
        <f t="shared" si="11"/>
        <v>99000</v>
      </c>
      <c r="L50" s="88">
        <f t="shared" si="6"/>
        <v>99000</v>
      </c>
      <c r="M50" s="88">
        <f t="shared" si="7"/>
        <v>1000</v>
      </c>
      <c r="N50" s="88"/>
      <c r="O50" s="88">
        <f t="shared" si="8"/>
        <v>900000</v>
      </c>
      <c r="P50" s="88">
        <f t="shared" si="9"/>
        <v>1000</v>
      </c>
      <c r="Q50" s="88"/>
      <c r="R50" s="88"/>
      <c r="S50" s="88">
        <f t="shared" si="12"/>
        <v>0</v>
      </c>
      <c r="T50" s="88">
        <f t="shared" si="10"/>
        <v>0</v>
      </c>
      <c r="U50" s="94">
        <f t="shared" si="2"/>
        <v>0</v>
      </c>
      <c r="V50" s="88"/>
      <c r="W50" s="88">
        <f t="shared" si="13"/>
        <v>0</v>
      </c>
      <c r="X50" s="88"/>
      <c r="Y50" s="84"/>
      <c r="Z50" s="84">
        <v>746000</v>
      </c>
    </row>
    <row r="51" spans="1:26" s="87" customFormat="1" x14ac:dyDescent="0.25">
      <c r="A51" s="84">
        <f t="shared" si="4"/>
        <v>46</v>
      </c>
      <c r="B51" s="84">
        <v>1848</v>
      </c>
      <c r="C51" s="93" t="s">
        <v>343</v>
      </c>
      <c r="D51" s="94">
        <f>1500000-900000-100000</f>
        <v>500000</v>
      </c>
      <c r="E51" s="88">
        <v>500000</v>
      </c>
      <c r="F51" s="88">
        <f t="shared" si="15"/>
        <v>0</v>
      </c>
      <c r="G51" s="88">
        <v>100000</v>
      </c>
      <c r="H51" s="88">
        <v>0</v>
      </c>
      <c r="I51" s="88">
        <v>18160</v>
      </c>
      <c r="J51" s="88"/>
      <c r="K51" s="88">
        <f t="shared" si="11"/>
        <v>18160</v>
      </c>
      <c r="L51" s="88">
        <f t="shared" si="6"/>
        <v>18160</v>
      </c>
      <c r="M51" s="88">
        <f t="shared" si="7"/>
        <v>81840</v>
      </c>
      <c r="N51" s="88">
        <v>200000</v>
      </c>
      <c r="O51" s="88">
        <f t="shared" si="8"/>
        <v>200000</v>
      </c>
      <c r="P51" s="88">
        <f t="shared" si="9"/>
        <v>81840</v>
      </c>
      <c r="Q51" s="88"/>
      <c r="R51" s="88"/>
      <c r="S51" s="88">
        <f t="shared" si="12"/>
        <v>0</v>
      </c>
      <c r="T51" s="88">
        <f t="shared" si="10"/>
        <v>0</v>
      </c>
      <c r="U51" s="94">
        <f t="shared" si="2"/>
        <v>200000</v>
      </c>
      <c r="V51" s="88"/>
      <c r="W51" s="88">
        <f t="shared" si="13"/>
        <v>200000</v>
      </c>
      <c r="X51" s="88"/>
      <c r="Y51" s="84"/>
      <c r="Z51" s="84">
        <v>742000</v>
      </c>
    </row>
    <row r="52" spans="1:26" s="87" customFormat="1" ht="27.6" x14ac:dyDescent="0.25">
      <c r="A52" s="84">
        <f t="shared" si="4"/>
        <v>47</v>
      </c>
      <c r="B52" s="84">
        <v>1849</v>
      </c>
      <c r="C52" s="93" t="s">
        <v>723</v>
      </c>
      <c r="D52" s="94">
        <v>1400000</v>
      </c>
      <c r="E52" s="88">
        <v>1400000</v>
      </c>
      <c r="F52" s="88">
        <f t="shared" si="15"/>
        <v>0</v>
      </c>
      <c r="G52" s="88">
        <v>500000</v>
      </c>
      <c r="H52" s="88">
        <v>81735.710000000006</v>
      </c>
      <c r="I52" s="88"/>
      <c r="J52" s="88"/>
      <c r="K52" s="88">
        <f t="shared" si="11"/>
        <v>0</v>
      </c>
      <c r="L52" s="88">
        <f t="shared" si="6"/>
        <v>81735.710000000006</v>
      </c>
      <c r="M52" s="88">
        <f t="shared" si="7"/>
        <v>418264.29</v>
      </c>
      <c r="N52" s="88">
        <f>900000-500000</f>
        <v>400000</v>
      </c>
      <c r="O52" s="88">
        <f t="shared" si="8"/>
        <v>500000</v>
      </c>
      <c r="P52" s="88">
        <f t="shared" si="9"/>
        <v>418264.29</v>
      </c>
      <c r="Q52" s="88"/>
      <c r="R52" s="88"/>
      <c r="S52" s="88">
        <v>0</v>
      </c>
      <c r="T52" s="88">
        <f t="shared" si="10"/>
        <v>0</v>
      </c>
      <c r="U52" s="94">
        <f t="shared" si="2"/>
        <v>400000</v>
      </c>
      <c r="V52" s="88">
        <v>400000</v>
      </c>
      <c r="W52" s="88">
        <f t="shared" si="13"/>
        <v>0</v>
      </c>
      <c r="X52" s="88"/>
      <c r="Y52" s="84"/>
      <c r="Z52" s="84">
        <v>743000</v>
      </c>
    </row>
    <row r="53" spans="1:26" s="87" customFormat="1" x14ac:dyDescent="0.25">
      <c r="A53" s="84">
        <f t="shared" si="4"/>
        <v>48</v>
      </c>
      <c r="B53" s="84">
        <v>1850</v>
      </c>
      <c r="C53" s="84" t="s">
        <v>344</v>
      </c>
      <c r="D53" s="88">
        <v>14600000</v>
      </c>
      <c r="E53" s="88">
        <v>14600000</v>
      </c>
      <c r="F53" s="88">
        <f t="shared" si="15"/>
        <v>0</v>
      </c>
      <c r="G53" s="88">
        <v>0</v>
      </c>
      <c r="H53" s="88">
        <v>0</v>
      </c>
      <c r="I53" s="88"/>
      <c r="J53" s="88"/>
      <c r="K53" s="88">
        <f t="shared" si="11"/>
        <v>0</v>
      </c>
      <c r="L53" s="88">
        <f t="shared" si="6"/>
        <v>0</v>
      </c>
      <c r="M53" s="88">
        <f t="shared" si="7"/>
        <v>300000</v>
      </c>
      <c r="N53" s="88">
        <f>4600000-620000-1000000</f>
        <v>2980000</v>
      </c>
      <c r="O53" s="88">
        <f t="shared" si="8"/>
        <v>11320000</v>
      </c>
      <c r="P53" s="88">
        <f t="shared" si="9"/>
        <v>0</v>
      </c>
      <c r="Q53" s="149">
        <v>300000</v>
      </c>
      <c r="R53" s="88"/>
      <c r="S53" s="88">
        <f t="shared" si="12"/>
        <v>300000</v>
      </c>
      <c r="T53" s="88">
        <f t="shared" si="10"/>
        <v>0</v>
      </c>
      <c r="U53" s="94">
        <f t="shared" si="2"/>
        <v>2980000</v>
      </c>
      <c r="V53" s="88">
        <f>4600000*0.8-1000000</f>
        <v>2680000</v>
      </c>
      <c r="W53" s="88">
        <f t="shared" si="13"/>
        <v>300000</v>
      </c>
      <c r="X53" s="88"/>
      <c r="Y53" s="84"/>
      <c r="Z53" s="84">
        <v>810000</v>
      </c>
    </row>
    <row r="54" spans="1:26" s="87" customFormat="1" x14ac:dyDescent="0.25">
      <c r="A54" s="84">
        <f t="shared" si="4"/>
        <v>49</v>
      </c>
      <c r="B54" s="110">
        <v>1851</v>
      </c>
      <c r="C54" s="110" t="s">
        <v>345</v>
      </c>
      <c r="D54" s="111">
        <v>3300000</v>
      </c>
      <c r="E54" s="111">
        <v>3300000</v>
      </c>
      <c r="F54" s="111">
        <f t="shared" si="15"/>
        <v>0</v>
      </c>
      <c r="G54" s="111">
        <v>3300000</v>
      </c>
      <c r="H54" s="111">
        <v>119368</v>
      </c>
      <c r="I54" s="111">
        <f>487364+4095</f>
        <v>491459</v>
      </c>
      <c r="J54" s="111">
        <f>1290275+155376+803929</f>
        <v>2249580</v>
      </c>
      <c r="K54" s="111">
        <f t="shared" si="11"/>
        <v>2741039</v>
      </c>
      <c r="L54" s="111">
        <f t="shared" si="6"/>
        <v>2860407</v>
      </c>
      <c r="M54" s="111">
        <f t="shared" si="7"/>
        <v>439593</v>
      </c>
      <c r="N54" s="111"/>
      <c r="O54" s="111">
        <f t="shared" si="8"/>
        <v>0</v>
      </c>
      <c r="P54" s="111">
        <f t="shared" si="9"/>
        <v>439593</v>
      </c>
      <c r="Q54" s="88"/>
      <c r="R54" s="88"/>
      <c r="S54" s="111">
        <f t="shared" si="12"/>
        <v>0</v>
      </c>
      <c r="T54" s="111">
        <f t="shared" si="10"/>
        <v>0</v>
      </c>
      <c r="U54" s="94">
        <f t="shared" si="2"/>
        <v>0</v>
      </c>
      <c r="V54" s="111"/>
      <c r="W54" s="88">
        <f t="shared" si="13"/>
        <v>0</v>
      </c>
      <c r="X54" s="111"/>
      <c r="Y54" s="110"/>
      <c r="Z54" s="110">
        <v>810000</v>
      </c>
    </row>
    <row r="55" spans="1:26" s="87" customFormat="1" x14ac:dyDescent="0.25">
      <c r="A55" s="84">
        <f t="shared" si="4"/>
        <v>50</v>
      </c>
      <c r="B55" s="84">
        <v>1853</v>
      </c>
      <c r="C55" s="84" t="s">
        <v>346</v>
      </c>
      <c r="D55" s="88">
        <v>310000</v>
      </c>
      <c r="E55" s="88">
        <v>310000</v>
      </c>
      <c r="F55" s="88">
        <f t="shared" si="15"/>
        <v>0</v>
      </c>
      <c r="G55" s="88">
        <v>310000</v>
      </c>
      <c r="H55" s="88">
        <v>321</v>
      </c>
      <c r="I55" s="88">
        <v>46800</v>
      </c>
      <c r="J55" s="88">
        <v>185449</v>
      </c>
      <c r="K55" s="88">
        <f t="shared" si="11"/>
        <v>232249</v>
      </c>
      <c r="L55" s="88">
        <f t="shared" si="6"/>
        <v>232570</v>
      </c>
      <c r="M55" s="88">
        <f t="shared" si="7"/>
        <v>77430</v>
      </c>
      <c r="N55" s="88"/>
      <c r="O55" s="88">
        <f t="shared" si="8"/>
        <v>0</v>
      </c>
      <c r="P55" s="88">
        <f t="shared" si="9"/>
        <v>77430</v>
      </c>
      <c r="Q55" s="88"/>
      <c r="R55" s="88"/>
      <c r="S55" s="88">
        <f t="shared" si="12"/>
        <v>0</v>
      </c>
      <c r="T55" s="88">
        <f t="shared" si="10"/>
        <v>0</v>
      </c>
      <c r="U55" s="94">
        <f t="shared" si="2"/>
        <v>0</v>
      </c>
      <c r="V55" s="88"/>
      <c r="W55" s="88">
        <f t="shared" si="13"/>
        <v>0</v>
      </c>
      <c r="X55" s="88"/>
      <c r="Y55" s="84"/>
      <c r="Z55" s="84">
        <v>824000</v>
      </c>
    </row>
    <row r="56" spans="1:26" s="87" customFormat="1" x14ac:dyDescent="0.25">
      <c r="A56" s="84">
        <f t="shared" si="4"/>
        <v>51</v>
      </c>
      <c r="B56" s="84">
        <v>1855</v>
      </c>
      <c r="C56" s="93" t="s">
        <v>347</v>
      </c>
      <c r="D56" s="94">
        <f>600000-200000</f>
        <v>400000</v>
      </c>
      <c r="E56" s="88">
        <v>600000</v>
      </c>
      <c r="F56" s="88">
        <f t="shared" si="15"/>
        <v>-200000</v>
      </c>
      <c r="G56" s="88">
        <v>400000</v>
      </c>
      <c r="H56" s="88">
        <v>0</v>
      </c>
      <c r="I56" s="88">
        <v>300909.13</v>
      </c>
      <c r="J56" s="88"/>
      <c r="K56" s="88">
        <f t="shared" si="11"/>
        <v>300909.13</v>
      </c>
      <c r="L56" s="88">
        <f t="shared" si="6"/>
        <v>300909.13</v>
      </c>
      <c r="M56" s="88">
        <f t="shared" si="7"/>
        <v>99090.87</v>
      </c>
      <c r="N56" s="88"/>
      <c r="O56" s="88">
        <f t="shared" si="8"/>
        <v>0</v>
      </c>
      <c r="P56" s="88">
        <f t="shared" si="9"/>
        <v>99090.87</v>
      </c>
      <c r="Q56" s="88"/>
      <c r="R56" s="88"/>
      <c r="S56" s="88">
        <f t="shared" si="12"/>
        <v>0</v>
      </c>
      <c r="T56" s="88">
        <f t="shared" si="10"/>
        <v>0</v>
      </c>
      <c r="U56" s="94">
        <f t="shared" si="2"/>
        <v>0</v>
      </c>
      <c r="V56" s="88"/>
      <c r="W56" s="88">
        <f t="shared" si="13"/>
        <v>0</v>
      </c>
      <c r="X56" s="88"/>
      <c r="Y56" s="84"/>
      <c r="Z56" s="84">
        <v>810000</v>
      </c>
    </row>
    <row r="57" spans="1:26" s="87" customFormat="1" x14ac:dyDescent="0.25">
      <c r="A57" s="84">
        <f t="shared" si="4"/>
        <v>52</v>
      </c>
      <c r="B57" s="84">
        <v>1856</v>
      </c>
      <c r="C57" s="93" t="s">
        <v>348</v>
      </c>
      <c r="D57" s="94">
        <f>300000+30000-130000</f>
        <v>200000</v>
      </c>
      <c r="E57" s="88">
        <v>300000</v>
      </c>
      <c r="F57" s="88">
        <f t="shared" si="15"/>
        <v>-100000</v>
      </c>
      <c r="G57" s="88">
        <v>200000</v>
      </c>
      <c r="H57" s="88">
        <v>0</v>
      </c>
      <c r="I57" s="88">
        <v>199977.64</v>
      </c>
      <c r="J57" s="88"/>
      <c r="K57" s="88">
        <f t="shared" si="11"/>
        <v>199977.64</v>
      </c>
      <c r="L57" s="88">
        <f t="shared" si="6"/>
        <v>199977.64</v>
      </c>
      <c r="M57" s="88">
        <f t="shared" si="7"/>
        <v>22.35999999998603</v>
      </c>
      <c r="N57" s="88"/>
      <c r="O57" s="88">
        <f t="shared" si="8"/>
        <v>0</v>
      </c>
      <c r="P57" s="88">
        <f t="shared" si="9"/>
        <v>22.35999999998603</v>
      </c>
      <c r="Q57" s="88"/>
      <c r="R57" s="88"/>
      <c r="S57" s="88">
        <f t="shared" si="12"/>
        <v>0</v>
      </c>
      <c r="T57" s="88">
        <f t="shared" si="10"/>
        <v>0</v>
      </c>
      <c r="U57" s="94">
        <f t="shared" si="2"/>
        <v>0</v>
      </c>
      <c r="V57" s="88"/>
      <c r="W57" s="88">
        <f t="shared" si="13"/>
        <v>0</v>
      </c>
      <c r="X57" s="88"/>
      <c r="Y57" s="84"/>
      <c r="Z57" s="84">
        <v>810000</v>
      </c>
    </row>
    <row r="58" spans="1:26" s="87" customFormat="1" x14ac:dyDescent="0.25">
      <c r="A58" s="84">
        <f t="shared" si="4"/>
        <v>53</v>
      </c>
      <c r="B58" s="110">
        <v>1883</v>
      </c>
      <c r="C58" s="110" t="s">
        <v>349</v>
      </c>
      <c r="D58" s="111">
        <v>16500000</v>
      </c>
      <c r="E58" s="111">
        <v>16500000</v>
      </c>
      <c r="F58" s="111">
        <f t="shared" si="15"/>
        <v>0</v>
      </c>
      <c r="G58" s="111">
        <v>8300000</v>
      </c>
      <c r="H58" s="111">
        <v>116821.01</v>
      </c>
      <c r="I58" s="111">
        <v>26325</v>
      </c>
      <c r="J58" s="111">
        <v>466620.25</v>
      </c>
      <c r="K58" s="111">
        <f t="shared" si="11"/>
        <v>492945.25</v>
      </c>
      <c r="L58" s="111">
        <f t="shared" si="6"/>
        <v>609766.26</v>
      </c>
      <c r="M58" s="111">
        <f t="shared" si="7"/>
        <v>8190233.7400000002</v>
      </c>
      <c r="N58" s="111">
        <f>8200000-500000</f>
        <v>7700000</v>
      </c>
      <c r="O58" s="111">
        <f t="shared" si="8"/>
        <v>0</v>
      </c>
      <c r="P58" s="111">
        <f t="shared" si="9"/>
        <v>7690233.7400000002</v>
      </c>
      <c r="Q58" s="88"/>
      <c r="R58" s="88">
        <v>500000</v>
      </c>
      <c r="S58" s="111">
        <f t="shared" si="12"/>
        <v>500000</v>
      </c>
      <c r="T58" s="111">
        <f t="shared" si="10"/>
        <v>0</v>
      </c>
      <c r="U58" s="94">
        <f t="shared" si="2"/>
        <v>7700000</v>
      </c>
      <c r="V58" s="111">
        <v>6000000</v>
      </c>
      <c r="W58" s="88">
        <f t="shared" si="13"/>
        <v>1700000</v>
      </c>
      <c r="X58" s="111"/>
      <c r="Y58" s="110"/>
      <c r="Z58" s="110">
        <v>810000</v>
      </c>
    </row>
    <row r="59" spans="1:26" s="87" customFormat="1" x14ac:dyDescent="0.25">
      <c r="A59" s="84">
        <f t="shared" si="4"/>
        <v>54</v>
      </c>
      <c r="B59" s="110">
        <v>1884</v>
      </c>
      <c r="C59" s="110" t="s">
        <v>350</v>
      </c>
      <c r="D59" s="111">
        <v>2100000</v>
      </c>
      <c r="E59" s="111">
        <v>2100000</v>
      </c>
      <c r="F59" s="111"/>
      <c r="G59" s="111">
        <f>1500000+600000</f>
        <v>2100000</v>
      </c>
      <c r="H59" s="111">
        <v>0</v>
      </c>
      <c r="I59" s="111">
        <v>2015142</v>
      </c>
      <c r="J59" s="111">
        <v>36387</v>
      </c>
      <c r="K59" s="111">
        <f t="shared" si="11"/>
        <v>2051529</v>
      </c>
      <c r="L59" s="111">
        <f t="shared" si="6"/>
        <v>2051529</v>
      </c>
      <c r="M59" s="111">
        <f t="shared" si="7"/>
        <v>48471</v>
      </c>
      <c r="N59" s="111"/>
      <c r="O59" s="111">
        <f t="shared" si="8"/>
        <v>0</v>
      </c>
      <c r="P59" s="111">
        <f t="shared" si="9"/>
        <v>48471</v>
      </c>
      <c r="Q59" s="88"/>
      <c r="R59" s="88"/>
      <c r="S59" s="111">
        <f t="shared" si="12"/>
        <v>0</v>
      </c>
      <c r="T59" s="111">
        <f t="shared" si="10"/>
        <v>0</v>
      </c>
      <c r="U59" s="94">
        <f t="shared" si="2"/>
        <v>0</v>
      </c>
      <c r="V59" s="111"/>
      <c r="W59" s="88">
        <f t="shared" si="13"/>
        <v>0</v>
      </c>
      <c r="X59" s="111"/>
      <c r="Y59" s="110"/>
      <c r="Z59" s="110">
        <v>810000</v>
      </c>
    </row>
    <row r="60" spans="1:26" s="87" customFormat="1" x14ac:dyDescent="0.25">
      <c r="A60" s="84">
        <f t="shared" si="4"/>
        <v>55</v>
      </c>
      <c r="B60" s="110">
        <v>1885</v>
      </c>
      <c r="C60" s="110" t="s">
        <v>443</v>
      </c>
      <c r="D60" s="111">
        <f>450000-150000</f>
        <v>300000</v>
      </c>
      <c r="E60" s="111">
        <v>300000</v>
      </c>
      <c r="F60" s="111">
        <f>D60-E60</f>
        <v>0</v>
      </c>
      <c r="G60" s="111">
        <v>300000</v>
      </c>
      <c r="H60" s="111">
        <v>0</v>
      </c>
      <c r="I60" s="111">
        <v>286019.98</v>
      </c>
      <c r="J60" s="111"/>
      <c r="K60" s="111">
        <f t="shared" si="11"/>
        <v>286019.98</v>
      </c>
      <c r="L60" s="111">
        <f t="shared" si="6"/>
        <v>286019.98</v>
      </c>
      <c r="M60" s="111">
        <f t="shared" si="7"/>
        <v>13980.020000000019</v>
      </c>
      <c r="N60" s="111"/>
      <c r="O60" s="111">
        <f t="shared" si="8"/>
        <v>0</v>
      </c>
      <c r="P60" s="111">
        <f t="shared" si="9"/>
        <v>13980.020000000019</v>
      </c>
      <c r="Q60" s="88"/>
      <c r="R60" s="88"/>
      <c r="S60" s="111">
        <f t="shared" si="12"/>
        <v>0</v>
      </c>
      <c r="T60" s="111">
        <f t="shared" si="10"/>
        <v>0</v>
      </c>
      <c r="U60" s="94">
        <f t="shared" si="2"/>
        <v>0</v>
      </c>
      <c r="V60" s="111"/>
      <c r="W60" s="88">
        <f t="shared" si="13"/>
        <v>0</v>
      </c>
      <c r="X60" s="111"/>
      <c r="Y60" s="110"/>
      <c r="Z60" s="110">
        <v>810000</v>
      </c>
    </row>
    <row r="61" spans="1:26" s="87" customFormat="1" x14ac:dyDescent="0.25">
      <c r="A61" s="84">
        <f t="shared" si="4"/>
        <v>56</v>
      </c>
      <c r="B61" s="110">
        <v>1886</v>
      </c>
      <c r="C61" s="110" t="s">
        <v>548</v>
      </c>
      <c r="D61" s="111">
        <v>4830000</v>
      </c>
      <c r="E61" s="111">
        <v>4830000</v>
      </c>
      <c r="F61" s="111">
        <f t="shared" ref="F61:F79" si="16">D61-E61</f>
        <v>0</v>
      </c>
      <c r="G61" s="111">
        <v>2300000</v>
      </c>
      <c r="H61" s="111">
        <v>0</v>
      </c>
      <c r="I61" s="111">
        <v>429836.88</v>
      </c>
      <c r="J61" s="111"/>
      <c r="K61" s="111">
        <f t="shared" si="11"/>
        <v>429836.88</v>
      </c>
      <c r="L61" s="111">
        <f t="shared" si="6"/>
        <v>429836.88</v>
      </c>
      <c r="M61" s="111">
        <f t="shared" si="7"/>
        <v>4400163.12</v>
      </c>
      <c r="N61" s="111"/>
      <c r="O61" s="111">
        <f t="shared" si="8"/>
        <v>0</v>
      </c>
      <c r="P61" s="111">
        <f t="shared" si="9"/>
        <v>1870163.12</v>
      </c>
      <c r="Q61" s="88"/>
      <c r="R61" s="88">
        <v>2530000</v>
      </c>
      <c r="S61" s="111">
        <f t="shared" si="12"/>
        <v>2530000</v>
      </c>
      <c r="T61" s="111">
        <f t="shared" si="10"/>
        <v>0</v>
      </c>
      <c r="U61" s="94">
        <f t="shared" si="2"/>
        <v>0</v>
      </c>
      <c r="V61" s="111"/>
      <c r="W61" s="88">
        <f t="shared" si="13"/>
        <v>0</v>
      </c>
      <c r="X61" s="111"/>
      <c r="Y61" s="88"/>
      <c r="Z61" s="110">
        <v>810000</v>
      </c>
    </row>
    <row r="62" spans="1:26" s="87" customFormat="1" x14ac:dyDescent="0.25">
      <c r="A62" s="84">
        <f t="shared" si="4"/>
        <v>57</v>
      </c>
      <c r="B62" s="110">
        <v>1887</v>
      </c>
      <c r="C62" s="110" t="s">
        <v>351</v>
      </c>
      <c r="D62" s="111">
        <v>2000000</v>
      </c>
      <c r="E62" s="111">
        <v>2000000</v>
      </c>
      <c r="F62" s="111">
        <f t="shared" si="16"/>
        <v>0</v>
      </c>
      <c r="G62" s="111">
        <v>2000000</v>
      </c>
      <c r="H62" s="111">
        <v>140094.09</v>
      </c>
      <c r="I62" s="111">
        <v>623615.43999999994</v>
      </c>
      <c r="J62" s="111">
        <v>19305</v>
      </c>
      <c r="K62" s="111">
        <f t="shared" si="11"/>
        <v>642920.43999999994</v>
      </c>
      <c r="L62" s="111">
        <f t="shared" si="6"/>
        <v>783014.52999999991</v>
      </c>
      <c r="M62" s="111">
        <f t="shared" si="7"/>
        <v>1216985.4700000002</v>
      </c>
      <c r="N62" s="111"/>
      <c r="O62" s="111">
        <f t="shared" si="8"/>
        <v>0</v>
      </c>
      <c r="P62" s="111">
        <f t="shared" si="9"/>
        <v>1216985.4700000002</v>
      </c>
      <c r="Q62" s="88"/>
      <c r="R62" s="88"/>
      <c r="S62" s="111">
        <f t="shared" si="12"/>
        <v>0</v>
      </c>
      <c r="T62" s="111">
        <f t="shared" si="10"/>
        <v>0</v>
      </c>
      <c r="U62" s="94">
        <f t="shared" ref="U62:U72" si="17">N62-T62</f>
        <v>0</v>
      </c>
      <c r="V62" s="111"/>
      <c r="W62" s="88">
        <f t="shared" si="13"/>
        <v>0</v>
      </c>
      <c r="X62" s="111"/>
      <c r="Y62" s="110"/>
      <c r="Z62" s="110">
        <v>810000</v>
      </c>
    </row>
    <row r="63" spans="1:26" s="87" customFormat="1" x14ac:dyDescent="0.25">
      <c r="A63" s="84">
        <f t="shared" si="4"/>
        <v>58</v>
      </c>
      <c r="B63" s="84">
        <v>1889</v>
      </c>
      <c r="C63" s="84" t="s">
        <v>364</v>
      </c>
      <c r="D63" s="88">
        <v>1450000</v>
      </c>
      <c r="E63" s="88">
        <v>1450000</v>
      </c>
      <c r="F63" s="111">
        <f t="shared" si="16"/>
        <v>0</v>
      </c>
      <c r="G63" s="88">
        <f>1200000+250000</f>
        <v>1450000</v>
      </c>
      <c r="H63" s="88">
        <v>0</v>
      </c>
      <c r="I63" s="88">
        <v>1199984.57</v>
      </c>
      <c r="J63" s="88"/>
      <c r="K63" s="88">
        <f t="shared" si="11"/>
        <v>1199984.57</v>
      </c>
      <c r="L63" s="88">
        <f t="shared" ref="L63:L73" si="18">H63+K63</f>
        <v>1199984.57</v>
      </c>
      <c r="M63" s="88">
        <f t="shared" ref="M63:M73" si="19">P63+S63</f>
        <v>250015.42999999993</v>
      </c>
      <c r="N63" s="88"/>
      <c r="O63" s="88">
        <f t="shared" ref="O63:O79" si="20">D63-L63-M63-N63</f>
        <v>0</v>
      </c>
      <c r="P63" s="88">
        <f t="shared" ref="P63:P79" si="21">G63-L63</f>
        <v>250015.42999999993</v>
      </c>
      <c r="Q63" s="88"/>
      <c r="R63" s="88"/>
      <c r="S63" s="88">
        <f t="shared" si="12"/>
        <v>0</v>
      </c>
      <c r="T63" s="88">
        <f t="shared" ref="T63:T79" si="22">P63-M63+S63</f>
        <v>0</v>
      </c>
      <c r="U63" s="94">
        <f t="shared" si="17"/>
        <v>0</v>
      </c>
      <c r="V63" s="88"/>
      <c r="W63" s="88">
        <f t="shared" si="13"/>
        <v>0</v>
      </c>
      <c r="X63" s="88"/>
      <c r="Y63" s="84"/>
      <c r="Z63" s="84">
        <v>810000</v>
      </c>
    </row>
    <row r="64" spans="1:26" s="87" customFormat="1" x14ac:dyDescent="0.25">
      <c r="A64" s="84">
        <f t="shared" si="4"/>
        <v>59</v>
      </c>
      <c r="B64" s="84">
        <v>1891</v>
      </c>
      <c r="C64" s="84" t="s">
        <v>352</v>
      </c>
      <c r="D64" s="88">
        <v>110000</v>
      </c>
      <c r="E64" s="88">
        <v>110000</v>
      </c>
      <c r="F64" s="111">
        <f t="shared" si="16"/>
        <v>0</v>
      </c>
      <c r="G64" s="88">
        <v>110000</v>
      </c>
      <c r="H64" s="88">
        <v>0</v>
      </c>
      <c r="I64" s="88">
        <v>72948.990000000005</v>
      </c>
      <c r="J64" s="88"/>
      <c r="K64" s="88">
        <f t="shared" si="11"/>
        <v>72948.990000000005</v>
      </c>
      <c r="L64" s="88">
        <f t="shared" si="18"/>
        <v>72948.990000000005</v>
      </c>
      <c r="M64" s="88">
        <f t="shared" si="19"/>
        <v>37051.009999999995</v>
      </c>
      <c r="N64" s="88"/>
      <c r="O64" s="88">
        <f t="shared" si="20"/>
        <v>0</v>
      </c>
      <c r="P64" s="88">
        <f t="shared" si="21"/>
        <v>37051.009999999995</v>
      </c>
      <c r="Q64" s="88"/>
      <c r="R64" s="88"/>
      <c r="S64" s="88">
        <f t="shared" si="12"/>
        <v>0</v>
      </c>
      <c r="T64" s="88">
        <f t="shared" si="22"/>
        <v>0</v>
      </c>
      <c r="U64" s="94">
        <f t="shared" si="17"/>
        <v>0</v>
      </c>
      <c r="V64" s="88"/>
      <c r="W64" s="88">
        <f t="shared" ref="W64:W75" si="23">U64-V64-X64-Y64</f>
        <v>0</v>
      </c>
      <c r="X64" s="88"/>
      <c r="Y64" s="84"/>
      <c r="Z64" s="84">
        <v>742000</v>
      </c>
    </row>
    <row r="65" spans="1:26" s="87" customFormat="1" x14ac:dyDescent="0.25">
      <c r="A65" s="84">
        <f t="shared" si="4"/>
        <v>60</v>
      </c>
      <c r="B65" s="84">
        <v>1897</v>
      </c>
      <c r="C65" s="84" t="s">
        <v>353</v>
      </c>
      <c r="D65" s="88">
        <v>200000</v>
      </c>
      <c r="E65" s="88">
        <v>200000</v>
      </c>
      <c r="F65" s="111">
        <f t="shared" si="16"/>
        <v>0</v>
      </c>
      <c r="G65" s="88">
        <v>200000</v>
      </c>
      <c r="H65" s="88">
        <v>0</v>
      </c>
      <c r="I65" s="88">
        <v>182200.81</v>
      </c>
      <c r="J65" s="88"/>
      <c r="K65" s="88">
        <f t="shared" ref="K65:K73" si="24">SUM(I65:J65)</f>
        <v>182200.81</v>
      </c>
      <c r="L65" s="88">
        <f t="shared" si="18"/>
        <v>182200.81</v>
      </c>
      <c r="M65" s="88">
        <f t="shared" si="19"/>
        <v>17799.190000000002</v>
      </c>
      <c r="N65" s="88"/>
      <c r="O65" s="88">
        <f t="shared" si="20"/>
        <v>0</v>
      </c>
      <c r="P65" s="88">
        <f t="shared" si="21"/>
        <v>17799.190000000002</v>
      </c>
      <c r="Q65" s="88"/>
      <c r="R65" s="88"/>
      <c r="S65" s="88">
        <f t="shared" si="12"/>
        <v>0</v>
      </c>
      <c r="T65" s="88">
        <f t="shared" si="22"/>
        <v>0</v>
      </c>
      <c r="U65" s="94">
        <f t="shared" si="17"/>
        <v>0</v>
      </c>
      <c r="V65" s="88"/>
      <c r="W65" s="88">
        <f t="shared" si="23"/>
        <v>0</v>
      </c>
      <c r="X65" s="88"/>
      <c r="Y65" s="84"/>
      <c r="Z65" s="84">
        <v>850000</v>
      </c>
    </row>
    <row r="66" spans="1:26" s="87" customFormat="1" x14ac:dyDescent="0.25">
      <c r="A66" s="84">
        <f t="shared" si="4"/>
        <v>61</v>
      </c>
      <c r="B66" s="84">
        <v>1900</v>
      </c>
      <c r="C66" s="84" t="s">
        <v>354</v>
      </c>
      <c r="D66" s="88">
        <v>700000</v>
      </c>
      <c r="E66" s="88">
        <v>700000</v>
      </c>
      <c r="F66" s="111">
        <f t="shared" si="16"/>
        <v>0</v>
      </c>
      <c r="G66" s="88">
        <v>700000</v>
      </c>
      <c r="H66" s="88">
        <v>0</v>
      </c>
      <c r="I66" s="88">
        <v>28080</v>
      </c>
      <c r="J66" s="88"/>
      <c r="K66" s="88">
        <f t="shared" si="24"/>
        <v>28080</v>
      </c>
      <c r="L66" s="88">
        <f t="shared" si="18"/>
        <v>28080</v>
      </c>
      <c r="M66" s="88">
        <f t="shared" si="19"/>
        <v>671920</v>
      </c>
      <c r="N66" s="88"/>
      <c r="O66" s="88">
        <f t="shared" si="20"/>
        <v>0</v>
      </c>
      <c r="P66" s="88">
        <f t="shared" si="21"/>
        <v>671920</v>
      </c>
      <c r="Q66" s="88"/>
      <c r="R66" s="88"/>
      <c r="S66" s="88">
        <f t="shared" si="12"/>
        <v>0</v>
      </c>
      <c r="T66" s="88">
        <f t="shared" si="22"/>
        <v>0</v>
      </c>
      <c r="U66" s="94">
        <f t="shared" si="17"/>
        <v>0</v>
      </c>
      <c r="V66" s="88"/>
      <c r="W66" s="88">
        <f t="shared" si="23"/>
        <v>0</v>
      </c>
      <c r="X66" s="88"/>
      <c r="Y66" s="84"/>
      <c r="Z66" s="84">
        <v>810000</v>
      </c>
    </row>
    <row r="67" spans="1:26" s="87" customFormat="1" x14ac:dyDescent="0.25">
      <c r="A67" s="84">
        <f t="shared" si="4"/>
        <v>62</v>
      </c>
      <c r="B67" s="84">
        <v>1916</v>
      </c>
      <c r="C67" s="84" t="s">
        <v>355</v>
      </c>
      <c r="D67" s="88">
        <v>300000</v>
      </c>
      <c r="E67" s="88">
        <v>300000</v>
      </c>
      <c r="F67" s="111">
        <f t="shared" si="16"/>
        <v>0</v>
      </c>
      <c r="G67" s="88">
        <v>0</v>
      </c>
      <c r="H67" s="88">
        <v>0</v>
      </c>
      <c r="I67" s="88"/>
      <c r="J67" s="88"/>
      <c r="K67" s="88">
        <f t="shared" si="24"/>
        <v>0</v>
      </c>
      <c r="L67" s="88">
        <f t="shared" si="18"/>
        <v>0</v>
      </c>
      <c r="M67" s="88">
        <f t="shared" si="19"/>
        <v>0</v>
      </c>
      <c r="N67" s="88">
        <v>300000</v>
      </c>
      <c r="O67" s="88">
        <f t="shared" si="20"/>
        <v>0</v>
      </c>
      <c r="P67" s="88">
        <f t="shared" si="21"/>
        <v>0</v>
      </c>
      <c r="Q67" s="88"/>
      <c r="R67" s="88">
        <f>300000-300000</f>
        <v>0</v>
      </c>
      <c r="S67" s="88">
        <f t="shared" si="12"/>
        <v>0</v>
      </c>
      <c r="T67" s="88">
        <f t="shared" si="22"/>
        <v>0</v>
      </c>
      <c r="U67" s="94">
        <f t="shared" si="17"/>
        <v>300000</v>
      </c>
      <c r="V67" s="88"/>
      <c r="W67" s="88">
        <f t="shared" si="23"/>
        <v>300000</v>
      </c>
      <c r="X67" s="88"/>
      <c r="Y67" s="84"/>
      <c r="Z67" s="84">
        <v>824000</v>
      </c>
    </row>
    <row r="68" spans="1:26" s="87" customFormat="1" x14ac:dyDescent="0.25">
      <c r="A68" s="84">
        <f t="shared" si="4"/>
        <v>63</v>
      </c>
      <c r="B68" s="84">
        <v>1917</v>
      </c>
      <c r="C68" s="84" t="s">
        <v>356</v>
      </c>
      <c r="D68" s="88">
        <v>76800000</v>
      </c>
      <c r="E68" s="88">
        <v>76800000</v>
      </c>
      <c r="F68" s="111">
        <f t="shared" si="16"/>
        <v>0</v>
      </c>
      <c r="G68" s="88">
        <v>1500000</v>
      </c>
      <c r="H68" s="88">
        <v>18242</v>
      </c>
      <c r="I68" s="88">
        <v>1402779</v>
      </c>
      <c r="J68" s="88"/>
      <c r="K68" s="88">
        <f t="shared" si="24"/>
        <v>1402779</v>
      </c>
      <c r="L68" s="88">
        <f t="shared" si="18"/>
        <v>1421021</v>
      </c>
      <c r="M68" s="88">
        <f t="shared" si="19"/>
        <v>3578979</v>
      </c>
      <c r="N68" s="88">
        <f>5000000-2500000</f>
        <v>2500000</v>
      </c>
      <c r="O68" s="88">
        <f t="shared" si="20"/>
        <v>69300000</v>
      </c>
      <c r="P68" s="88">
        <f t="shared" si="21"/>
        <v>78979</v>
      </c>
      <c r="Q68" s="88"/>
      <c r="R68" s="203">
        <v>3500000</v>
      </c>
      <c r="S68" s="88">
        <f t="shared" si="12"/>
        <v>3500000</v>
      </c>
      <c r="T68" s="88">
        <f t="shared" si="22"/>
        <v>0</v>
      </c>
      <c r="U68" s="94">
        <f t="shared" si="17"/>
        <v>2500000</v>
      </c>
      <c r="V68" s="88">
        <v>2500000</v>
      </c>
      <c r="W68" s="88">
        <f t="shared" si="23"/>
        <v>0</v>
      </c>
      <c r="X68" s="88"/>
      <c r="Y68" s="84"/>
      <c r="Z68" s="84">
        <v>743000</v>
      </c>
    </row>
    <row r="69" spans="1:26" s="87" customFormat="1" x14ac:dyDescent="0.25">
      <c r="A69" s="84">
        <f t="shared" si="4"/>
        <v>64</v>
      </c>
      <c r="B69" s="110">
        <v>1918</v>
      </c>
      <c r="C69" s="110" t="s">
        <v>357</v>
      </c>
      <c r="D69" s="111">
        <v>2017000</v>
      </c>
      <c r="E69" s="111">
        <v>2017000</v>
      </c>
      <c r="F69" s="111">
        <f t="shared" si="16"/>
        <v>0</v>
      </c>
      <c r="G69" s="111">
        <v>1167000</v>
      </c>
      <c r="H69" s="111">
        <v>0</v>
      </c>
      <c r="I69" s="111">
        <v>62712</v>
      </c>
      <c r="J69" s="111"/>
      <c r="K69" s="111">
        <f t="shared" si="24"/>
        <v>62712</v>
      </c>
      <c r="L69" s="111">
        <f t="shared" si="18"/>
        <v>62712</v>
      </c>
      <c r="M69" s="111">
        <f t="shared" si="19"/>
        <v>1954288</v>
      </c>
      <c r="N69" s="111"/>
      <c r="O69" s="111">
        <f t="shared" si="20"/>
        <v>0</v>
      </c>
      <c r="P69" s="111">
        <f t="shared" si="21"/>
        <v>1104288</v>
      </c>
      <c r="Q69" s="88"/>
      <c r="R69" s="88">
        <v>850000</v>
      </c>
      <c r="S69" s="111">
        <f t="shared" si="12"/>
        <v>850000</v>
      </c>
      <c r="T69" s="111">
        <f t="shared" si="22"/>
        <v>0</v>
      </c>
      <c r="U69" s="94">
        <f t="shared" si="17"/>
        <v>0</v>
      </c>
      <c r="V69" s="111"/>
      <c r="W69" s="88">
        <f t="shared" si="23"/>
        <v>0</v>
      </c>
      <c r="X69" s="111"/>
      <c r="Y69" s="110"/>
      <c r="Z69" s="110">
        <v>870000</v>
      </c>
    </row>
    <row r="70" spans="1:26" s="87" customFormat="1" x14ac:dyDescent="0.25">
      <c r="A70" s="84">
        <f t="shared" si="4"/>
        <v>65</v>
      </c>
      <c r="B70" s="84">
        <v>1925</v>
      </c>
      <c r="C70" s="84" t="s">
        <v>358</v>
      </c>
      <c r="D70" s="88">
        <v>1000000</v>
      </c>
      <c r="E70" s="88">
        <v>1000000</v>
      </c>
      <c r="F70" s="111">
        <f t="shared" si="16"/>
        <v>0</v>
      </c>
      <c r="G70" s="88">
        <v>0</v>
      </c>
      <c r="H70" s="88">
        <v>0</v>
      </c>
      <c r="I70" s="88"/>
      <c r="J70" s="88"/>
      <c r="K70" s="88">
        <f t="shared" si="24"/>
        <v>0</v>
      </c>
      <c r="L70" s="88">
        <f t="shared" si="18"/>
        <v>0</v>
      </c>
      <c r="M70" s="88">
        <f t="shared" si="19"/>
        <v>500000</v>
      </c>
      <c r="N70" s="88">
        <v>500000</v>
      </c>
      <c r="O70" s="88">
        <f t="shared" si="20"/>
        <v>0</v>
      </c>
      <c r="P70" s="88">
        <f t="shared" si="21"/>
        <v>0</v>
      </c>
      <c r="Q70" s="88"/>
      <c r="R70" s="199">
        <f>1000000-500000</f>
        <v>500000</v>
      </c>
      <c r="S70" s="88">
        <f t="shared" si="12"/>
        <v>500000</v>
      </c>
      <c r="T70" s="88">
        <f t="shared" si="22"/>
        <v>0</v>
      </c>
      <c r="U70" s="94">
        <f t="shared" si="17"/>
        <v>500000</v>
      </c>
      <c r="V70" s="88"/>
      <c r="W70" s="88">
        <f t="shared" si="23"/>
        <v>500000</v>
      </c>
      <c r="X70" s="88"/>
      <c r="Y70" s="84"/>
      <c r="Z70" s="84">
        <v>850000</v>
      </c>
    </row>
    <row r="71" spans="1:26" s="87" customFormat="1" x14ac:dyDescent="0.25">
      <c r="A71" s="84">
        <f t="shared" ref="A71:A81" si="25">A70+1</f>
        <v>66</v>
      </c>
      <c r="B71" s="84">
        <v>1926</v>
      </c>
      <c r="C71" s="84" t="s">
        <v>359</v>
      </c>
      <c r="D71" s="88">
        <v>850000</v>
      </c>
      <c r="E71" s="88">
        <v>850000</v>
      </c>
      <c r="F71" s="111">
        <f t="shared" si="16"/>
        <v>0</v>
      </c>
      <c r="G71" s="88">
        <v>600000</v>
      </c>
      <c r="H71" s="88">
        <v>0</v>
      </c>
      <c r="I71" s="88">
        <v>263641</v>
      </c>
      <c r="J71" s="88"/>
      <c r="K71" s="88">
        <f t="shared" si="24"/>
        <v>263641</v>
      </c>
      <c r="L71" s="88">
        <f t="shared" si="18"/>
        <v>263641</v>
      </c>
      <c r="M71" s="88">
        <f t="shared" si="19"/>
        <v>586359</v>
      </c>
      <c r="N71" s="88"/>
      <c r="O71" s="88">
        <f t="shared" si="20"/>
        <v>0</v>
      </c>
      <c r="P71" s="88">
        <f t="shared" si="21"/>
        <v>336359</v>
      </c>
      <c r="Q71" s="88"/>
      <c r="R71" s="199">
        <v>250000</v>
      </c>
      <c r="S71" s="88">
        <f t="shared" si="12"/>
        <v>250000</v>
      </c>
      <c r="T71" s="88">
        <f t="shared" si="22"/>
        <v>0</v>
      </c>
      <c r="U71" s="94">
        <f t="shared" si="17"/>
        <v>0</v>
      </c>
      <c r="V71" s="88"/>
      <c r="W71" s="88">
        <f t="shared" si="23"/>
        <v>0</v>
      </c>
      <c r="X71" s="88"/>
      <c r="Y71" s="84"/>
      <c r="Z71" s="84">
        <v>810000</v>
      </c>
    </row>
    <row r="72" spans="1:26" s="87" customFormat="1" x14ac:dyDescent="0.25">
      <c r="A72" s="84">
        <f t="shared" si="25"/>
        <v>67</v>
      </c>
      <c r="B72" s="84">
        <v>1931</v>
      </c>
      <c r="C72" s="84" t="s">
        <v>363</v>
      </c>
      <c r="D72" s="88">
        <v>831000</v>
      </c>
      <c r="E72" s="88">
        <v>831000</v>
      </c>
      <c r="F72" s="111">
        <f>D72-E72</f>
        <v>0</v>
      </c>
      <c r="G72" s="88">
        <v>0</v>
      </c>
      <c r="H72" s="88">
        <v>0</v>
      </c>
      <c r="I72" s="88"/>
      <c r="J72" s="88"/>
      <c r="K72" s="88">
        <f>SUM(I72:J72)</f>
        <v>0</v>
      </c>
      <c r="L72" s="88">
        <f>H72+K72</f>
        <v>0</v>
      </c>
      <c r="M72" s="88">
        <f>P72+S72</f>
        <v>415000</v>
      </c>
      <c r="N72" s="88">
        <v>416000</v>
      </c>
      <c r="O72" s="88">
        <f>D72-L72-M72-N72</f>
        <v>0</v>
      </c>
      <c r="P72" s="88">
        <f>G72-L72</f>
        <v>0</v>
      </c>
      <c r="Q72" s="88"/>
      <c r="R72" s="199">
        <f>831000-416000</f>
        <v>415000</v>
      </c>
      <c r="S72" s="88">
        <f t="shared" si="12"/>
        <v>415000</v>
      </c>
      <c r="T72" s="88">
        <f t="shared" si="22"/>
        <v>0</v>
      </c>
      <c r="U72" s="94">
        <f t="shared" si="17"/>
        <v>416000</v>
      </c>
      <c r="V72" s="88"/>
      <c r="W72" s="88">
        <f t="shared" si="23"/>
        <v>416000</v>
      </c>
      <c r="X72" s="88"/>
      <c r="Y72" s="84"/>
      <c r="Z72" s="84">
        <v>810000</v>
      </c>
    </row>
    <row r="73" spans="1:26" s="87" customFormat="1" x14ac:dyDescent="0.25">
      <c r="A73" s="84">
        <f t="shared" si="25"/>
        <v>68</v>
      </c>
      <c r="B73" s="84">
        <v>1933</v>
      </c>
      <c r="C73" s="84" t="s">
        <v>444</v>
      </c>
      <c r="D73" s="88">
        <v>200000</v>
      </c>
      <c r="E73" s="88">
        <v>200000</v>
      </c>
      <c r="F73" s="111">
        <f t="shared" si="16"/>
        <v>0</v>
      </c>
      <c r="G73" s="88">
        <v>200000</v>
      </c>
      <c r="H73" s="88">
        <v>0</v>
      </c>
      <c r="I73" s="88"/>
      <c r="J73" s="88"/>
      <c r="K73" s="88">
        <f t="shared" si="24"/>
        <v>0</v>
      </c>
      <c r="L73" s="88">
        <f t="shared" si="18"/>
        <v>0</v>
      </c>
      <c r="M73" s="88">
        <f t="shared" si="19"/>
        <v>200000</v>
      </c>
      <c r="N73" s="88"/>
      <c r="O73" s="88">
        <f t="shared" si="20"/>
        <v>0</v>
      </c>
      <c r="P73" s="88">
        <f t="shared" si="21"/>
        <v>200000</v>
      </c>
      <c r="Q73" s="88"/>
      <c r="R73" s="88"/>
      <c r="S73" s="88">
        <f t="shared" ref="S73:S80" si="26">SUM(Q73:R73)</f>
        <v>0</v>
      </c>
      <c r="T73" s="88">
        <f t="shared" si="22"/>
        <v>0</v>
      </c>
      <c r="U73" s="94">
        <f t="shared" ref="U73:U81" si="27">N73-T73</f>
        <v>0</v>
      </c>
      <c r="V73" s="88"/>
      <c r="W73" s="88">
        <f t="shared" si="23"/>
        <v>0</v>
      </c>
      <c r="X73" s="88"/>
      <c r="Y73" s="84"/>
      <c r="Z73" s="84">
        <v>810000</v>
      </c>
    </row>
    <row r="74" spans="1:26" s="87" customFormat="1" x14ac:dyDescent="0.25">
      <c r="A74" s="84">
        <f t="shared" si="25"/>
        <v>69</v>
      </c>
      <c r="B74" s="84">
        <v>1942</v>
      </c>
      <c r="C74" s="84" t="s">
        <v>445</v>
      </c>
      <c r="D74" s="88">
        <v>572000</v>
      </c>
      <c r="E74" s="88">
        <v>572000</v>
      </c>
      <c r="F74" s="111">
        <f t="shared" si="16"/>
        <v>0</v>
      </c>
      <c r="G74" s="88">
        <v>0</v>
      </c>
      <c r="H74" s="88">
        <v>0</v>
      </c>
      <c r="I74" s="88"/>
      <c r="J74" s="88"/>
      <c r="K74" s="88">
        <f t="shared" ref="K74:K81" si="28">SUM(I74:J74)</f>
        <v>0</v>
      </c>
      <c r="L74" s="88">
        <f t="shared" ref="L74:L81" si="29">H74+K74</f>
        <v>0</v>
      </c>
      <c r="M74" s="88">
        <f t="shared" ref="M74:M81" si="30">P74+S74</f>
        <v>572000</v>
      </c>
      <c r="N74" s="88"/>
      <c r="O74" s="88">
        <f t="shared" si="20"/>
        <v>0</v>
      </c>
      <c r="P74" s="88">
        <f t="shared" si="21"/>
        <v>0</v>
      </c>
      <c r="Q74" s="88"/>
      <c r="R74" s="88">
        <v>572000</v>
      </c>
      <c r="S74" s="88">
        <f t="shared" si="26"/>
        <v>572000</v>
      </c>
      <c r="T74" s="88">
        <f t="shared" si="22"/>
        <v>0</v>
      </c>
      <c r="U74" s="94">
        <f t="shared" si="27"/>
        <v>0</v>
      </c>
      <c r="V74" s="88"/>
      <c r="W74" s="88">
        <f t="shared" si="23"/>
        <v>0</v>
      </c>
      <c r="X74" s="88"/>
      <c r="Y74" s="84"/>
      <c r="Z74" s="84">
        <v>724000</v>
      </c>
    </row>
    <row r="75" spans="1:26" s="87" customFormat="1" x14ac:dyDescent="0.25">
      <c r="A75" s="84">
        <f t="shared" si="25"/>
        <v>70</v>
      </c>
      <c r="B75" s="84">
        <v>1946</v>
      </c>
      <c r="C75" s="84" t="s">
        <v>549</v>
      </c>
      <c r="D75" s="88">
        <v>590000</v>
      </c>
      <c r="E75" s="88">
        <v>590000</v>
      </c>
      <c r="F75" s="111">
        <f>D75-E75</f>
        <v>0</v>
      </c>
      <c r="G75" s="88"/>
      <c r="H75" s="88"/>
      <c r="I75" s="88"/>
      <c r="J75" s="88"/>
      <c r="K75" s="88">
        <f t="shared" si="28"/>
        <v>0</v>
      </c>
      <c r="L75" s="88">
        <f t="shared" si="29"/>
        <v>0</v>
      </c>
      <c r="M75" s="88">
        <f t="shared" si="30"/>
        <v>590000</v>
      </c>
      <c r="N75" s="88"/>
      <c r="O75" s="88">
        <f>D75-L75-M75-N75</f>
        <v>0</v>
      </c>
      <c r="P75" s="88">
        <f>G75-L75</f>
        <v>0</v>
      </c>
      <c r="Q75" s="88"/>
      <c r="R75" s="88">
        <v>590000</v>
      </c>
      <c r="S75" s="88">
        <f>SUM(Q75:R75)</f>
        <v>590000</v>
      </c>
      <c r="T75" s="88">
        <f>P75-M75+S75</f>
        <v>0</v>
      </c>
      <c r="U75" s="94">
        <f t="shared" si="27"/>
        <v>0</v>
      </c>
      <c r="V75" s="88"/>
      <c r="W75" s="88">
        <f t="shared" si="23"/>
        <v>0</v>
      </c>
      <c r="X75" s="88"/>
      <c r="Y75" s="84"/>
      <c r="Z75" s="84">
        <v>810000</v>
      </c>
    </row>
    <row r="76" spans="1:26" s="87" customFormat="1" x14ac:dyDescent="0.25">
      <c r="A76" s="84">
        <f t="shared" si="25"/>
        <v>71</v>
      </c>
      <c r="B76" s="84">
        <v>1966</v>
      </c>
      <c r="C76" s="84" t="s">
        <v>831</v>
      </c>
      <c r="D76" s="88">
        <v>1700000</v>
      </c>
      <c r="E76" s="88"/>
      <c r="F76" s="111">
        <f t="shared" si="16"/>
        <v>1700000</v>
      </c>
      <c r="G76" s="88"/>
      <c r="H76" s="88"/>
      <c r="I76" s="88"/>
      <c r="J76" s="88"/>
      <c r="K76" s="88">
        <f t="shared" si="28"/>
        <v>0</v>
      </c>
      <c r="L76" s="88">
        <f t="shared" si="29"/>
        <v>0</v>
      </c>
      <c r="M76" s="88">
        <f t="shared" si="30"/>
        <v>0</v>
      </c>
      <c r="N76" s="88">
        <v>1700000</v>
      </c>
      <c r="O76" s="88">
        <f t="shared" si="20"/>
        <v>0</v>
      </c>
      <c r="P76" s="88">
        <f t="shared" si="21"/>
        <v>0</v>
      </c>
      <c r="Q76" s="88"/>
      <c r="R76" s="88"/>
      <c r="S76" s="88">
        <f t="shared" si="26"/>
        <v>0</v>
      </c>
      <c r="T76" s="88">
        <f t="shared" si="22"/>
        <v>0</v>
      </c>
      <c r="U76" s="94">
        <f t="shared" si="27"/>
        <v>1700000</v>
      </c>
      <c r="V76" s="88"/>
      <c r="W76" s="88">
        <f t="shared" ref="W76:W81" si="31">U76-V76-X76-Y76</f>
        <v>1408000</v>
      </c>
      <c r="X76" s="88"/>
      <c r="Y76" s="88">
        <v>292000</v>
      </c>
      <c r="Z76" s="84">
        <v>870000</v>
      </c>
    </row>
    <row r="77" spans="1:26" s="87" customFormat="1" x14ac:dyDescent="0.25">
      <c r="A77" s="84">
        <f t="shared" si="25"/>
        <v>72</v>
      </c>
      <c r="B77" s="84">
        <v>1967</v>
      </c>
      <c r="C77" s="84" t="s">
        <v>447</v>
      </c>
      <c r="D77" s="88">
        <v>2000000</v>
      </c>
      <c r="E77" s="88"/>
      <c r="F77" s="111">
        <f t="shared" si="16"/>
        <v>2000000</v>
      </c>
      <c r="G77" s="88"/>
      <c r="H77" s="88"/>
      <c r="I77" s="88"/>
      <c r="J77" s="88"/>
      <c r="K77" s="88">
        <f t="shared" si="28"/>
        <v>0</v>
      </c>
      <c r="L77" s="88">
        <f t="shared" si="29"/>
        <v>0</v>
      </c>
      <c r="M77" s="88">
        <f t="shared" si="30"/>
        <v>0</v>
      </c>
      <c r="N77" s="88">
        <f>2000000-500000</f>
        <v>1500000</v>
      </c>
      <c r="O77" s="88">
        <f t="shared" si="20"/>
        <v>500000</v>
      </c>
      <c r="P77" s="88">
        <f t="shared" si="21"/>
        <v>0</v>
      </c>
      <c r="Q77" s="88"/>
      <c r="R77" s="88"/>
      <c r="S77" s="88">
        <f t="shared" si="26"/>
        <v>0</v>
      </c>
      <c r="T77" s="88">
        <f t="shared" si="22"/>
        <v>0</v>
      </c>
      <c r="U77" s="94">
        <f t="shared" si="27"/>
        <v>1500000</v>
      </c>
      <c r="V77" s="88">
        <v>1500000</v>
      </c>
      <c r="W77" s="88">
        <f t="shared" si="31"/>
        <v>0</v>
      </c>
      <c r="X77" s="88"/>
      <c r="Y77" s="88"/>
      <c r="Z77" s="84">
        <v>810000</v>
      </c>
    </row>
    <row r="78" spans="1:26" s="87" customFormat="1" x14ac:dyDescent="0.25">
      <c r="A78" s="84">
        <f t="shared" si="25"/>
        <v>73</v>
      </c>
      <c r="B78" s="84">
        <v>1968</v>
      </c>
      <c r="C78" s="84" t="s">
        <v>448</v>
      </c>
      <c r="D78" s="88">
        <v>1000000</v>
      </c>
      <c r="E78" s="88"/>
      <c r="F78" s="111">
        <f t="shared" si="16"/>
        <v>1000000</v>
      </c>
      <c r="G78" s="88"/>
      <c r="H78" s="88"/>
      <c r="I78" s="88"/>
      <c r="J78" s="88"/>
      <c r="K78" s="88">
        <f t="shared" si="28"/>
        <v>0</v>
      </c>
      <c r="L78" s="88">
        <f t="shared" si="29"/>
        <v>0</v>
      </c>
      <c r="M78" s="88">
        <f t="shared" si="30"/>
        <v>0</v>
      </c>
      <c r="N78" s="88">
        <v>1000000</v>
      </c>
      <c r="O78" s="88">
        <f t="shared" si="20"/>
        <v>0</v>
      </c>
      <c r="P78" s="88">
        <f t="shared" si="21"/>
        <v>0</v>
      </c>
      <c r="Q78" s="88"/>
      <c r="R78" s="88"/>
      <c r="S78" s="88">
        <f t="shared" si="26"/>
        <v>0</v>
      </c>
      <c r="T78" s="88">
        <f t="shared" si="22"/>
        <v>0</v>
      </c>
      <c r="U78" s="94">
        <f t="shared" si="27"/>
        <v>1000000</v>
      </c>
      <c r="V78" s="88"/>
      <c r="W78" s="88">
        <f t="shared" si="31"/>
        <v>1000000</v>
      </c>
      <c r="X78" s="88"/>
      <c r="Y78" s="84"/>
      <c r="Z78" s="84">
        <v>848000</v>
      </c>
    </row>
    <row r="79" spans="1:26" s="87" customFormat="1" x14ac:dyDescent="0.25">
      <c r="A79" s="84">
        <f t="shared" si="25"/>
        <v>74</v>
      </c>
      <c r="B79" s="84">
        <v>1969</v>
      </c>
      <c r="C79" s="84" t="s">
        <v>449</v>
      </c>
      <c r="D79" s="88">
        <v>1485000</v>
      </c>
      <c r="E79" s="88"/>
      <c r="F79" s="111">
        <f t="shared" si="16"/>
        <v>1485000</v>
      </c>
      <c r="G79" s="88"/>
      <c r="H79" s="88"/>
      <c r="I79" s="88"/>
      <c r="J79" s="88"/>
      <c r="K79" s="88">
        <f t="shared" si="28"/>
        <v>0</v>
      </c>
      <c r="L79" s="88">
        <f t="shared" si="29"/>
        <v>0</v>
      </c>
      <c r="M79" s="88">
        <f t="shared" si="30"/>
        <v>0</v>
      </c>
      <c r="N79" s="88">
        <f>700000-200000</f>
        <v>500000</v>
      </c>
      <c r="O79" s="88">
        <f t="shared" si="20"/>
        <v>985000</v>
      </c>
      <c r="P79" s="88">
        <f t="shared" si="21"/>
        <v>0</v>
      </c>
      <c r="Q79" s="88"/>
      <c r="R79" s="88"/>
      <c r="S79" s="88">
        <f t="shared" si="26"/>
        <v>0</v>
      </c>
      <c r="T79" s="88">
        <f t="shared" si="22"/>
        <v>0</v>
      </c>
      <c r="U79" s="94">
        <f t="shared" si="27"/>
        <v>500000</v>
      </c>
      <c r="V79" s="88">
        <v>500000</v>
      </c>
      <c r="W79" s="88">
        <f t="shared" si="31"/>
        <v>0</v>
      </c>
      <c r="X79" s="88"/>
      <c r="Y79" s="84"/>
      <c r="Z79" s="84">
        <v>810000</v>
      </c>
    </row>
    <row r="80" spans="1:26" s="87" customFormat="1" x14ac:dyDescent="0.25">
      <c r="A80" s="84">
        <f t="shared" si="25"/>
        <v>75</v>
      </c>
      <c r="B80" s="84">
        <v>1947</v>
      </c>
      <c r="C80" s="84" t="s">
        <v>722</v>
      </c>
      <c r="D80" s="88">
        <f>1200000+200000</f>
        <v>1400000</v>
      </c>
      <c r="E80" s="88"/>
      <c r="F80" s="111">
        <f>D80-E80</f>
        <v>1400000</v>
      </c>
      <c r="G80" s="88"/>
      <c r="H80" s="88"/>
      <c r="I80" s="88"/>
      <c r="J80" s="88"/>
      <c r="K80" s="88">
        <f t="shared" si="28"/>
        <v>0</v>
      </c>
      <c r="L80" s="88">
        <f t="shared" si="29"/>
        <v>0</v>
      </c>
      <c r="M80" s="88">
        <f t="shared" si="30"/>
        <v>1400000</v>
      </c>
      <c r="N80" s="88"/>
      <c r="O80" s="88">
        <f>D80-L80-M80-N80</f>
        <v>0</v>
      </c>
      <c r="P80" s="88">
        <f>G80-L80</f>
        <v>0</v>
      </c>
      <c r="Q80" s="88"/>
      <c r="R80" s="88">
        <v>1400000</v>
      </c>
      <c r="S80" s="88">
        <f t="shared" si="26"/>
        <v>1400000</v>
      </c>
      <c r="T80" s="88">
        <f>P80-M80+S80</f>
        <v>0</v>
      </c>
      <c r="U80" s="94">
        <f t="shared" si="27"/>
        <v>0</v>
      </c>
      <c r="V80" s="88"/>
      <c r="W80" s="88">
        <f t="shared" si="31"/>
        <v>0</v>
      </c>
      <c r="X80" s="88"/>
      <c r="Y80" s="84"/>
      <c r="Z80" s="84">
        <v>850000</v>
      </c>
    </row>
    <row r="81" spans="1:26" s="87" customFormat="1" x14ac:dyDescent="0.25">
      <c r="A81" s="84">
        <f t="shared" si="25"/>
        <v>76</v>
      </c>
      <c r="B81" s="84">
        <v>1970</v>
      </c>
      <c r="C81" s="84" t="s">
        <v>508</v>
      </c>
      <c r="D81" s="88">
        <f>2200000+500000</f>
        <v>2700000</v>
      </c>
      <c r="E81" s="88"/>
      <c r="F81" s="111">
        <f>D81-E81</f>
        <v>2700000</v>
      </c>
      <c r="G81" s="88"/>
      <c r="H81" s="88"/>
      <c r="I81" s="88"/>
      <c r="J81" s="88"/>
      <c r="K81" s="88">
        <f t="shared" si="28"/>
        <v>0</v>
      </c>
      <c r="L81" s="88">
        <f t="shared" si="29"/>
        <v>0</v>
      </c>
      <c r="M81" s="88">
        <f t="shared" si="30"/>
        <v>0</v>
      </c>
      <c r="N81" s="88">
        <f>2200000+500000</f>
        <v>2700000</v>
      </c>
      <c r="O81" s="88">
        <f>D81-L81-M81-N81</f>
        <v>0</v>
      </c>
      <c r="P81" s="88">
        <f>G81-L81</f>
        <v>0</v>
      </c>
      <c r="Q81" s="88"/>
      <c r="R81" s="88"/>
      <c r="S81" s="88">
        <f>SUM(Q81:R81)</f>
        <v>0</v>
      </c>
      <c r="T81" s="88">
        <f>P81-M81+S81</f>
        <v>0</v>
      </c>
      <c r="U81" s="94">
        <f t="shared" si="27"/>
        <v>2700000</v>
      </c>
      <c r="V81" s="88"/>
      <c r="W81" s="88">
        <f t="shared" si="31"/>
        <v>2700000</v>
      </c>
      <c r="X81" s="88"/>
      <c r="Y81" s="84"/>
      <c r="Z81" s="84">
        <v>810000</v>
      </c>
    </row>
    <row r="82" spans="1:26" s="87" customFormat="1" ht="15.6" x14ac:dyDescent="0.25">
      <c r="A82" s="90">
        <f>A81</f>
        <v>76</v>
      </c>
      <c r="B82" s="28" t="s">
        <v>102</v>
      </c>
      <c r="C82" s="28" t="s">
        <v>136</v>
      </c>
      <c r="D82" s="101">
        <f>SUM(D6:D81)</f>
        <v>547456840</v>
      </c>
      <c r="E82" s="101">
        <f t="shared" ref="E82:Y82" si="32">SUM(E6:E81)</f>
        <v>578780840</v>
      </c>
      <c r="F82" s="101">
        <f t="shared" si="32"/>
        <v>-31324000</v>
      </c>
      <c r="G82" s="101">
        <f t="shared" si="32"/>
        <v>401930840</v>
      </c>
      <c r="H82" s="101">
        <f t="shared" si="32"/>
        <v>343915745.27999991</v>
      </c>
      <c r="I82" s="101">
        <f t="shared" si="32"/>
        <v>18824039.779999997</v>
      </c>
      <c r="J82" s="101">
        <f t="shared" si="32"/>
        <v>17226281.890000001</v>
      </c>
      <c r="K82" s="101">
        <f t="shared" si="32"/>
        <v>36050321.670000002</v>
      </c>
      <c r="L82" s="101">
        <f t="shared" si="32"/>
        <v>379966066.94999987</v>
      </c>
      <c r="M82" s="101">
        <f t="shared" si="32"/>
        <v>37999773.050000004</v>
      </c>
      <c r="N82" s="101">
        <f t="shared" si="32"/>
        <v>25186000</v>
      </c>
      <c r="O82" s="101">
        <f t="shared" si="32"/>
        <v>104305000</v>
      </c>
      <c r="P82" s="101">
        <f t="shared" si="32"/>
        <v>21964773.050000004</v>
      </c>
      <c r="Q82" s="101">
        <f t="shared" si="32"/>
        <v>2550000</v>
      </c>
      <c r="R82" s="101">
        <f t="shared" si="32"/>
        <v>14652000</v>
      </c>
      <c r="S82" s="101">
        <f t="shared" si="32"/>
        <v>17202000</v>
      </c>
      <c r="T82" s="101">
        <f t="shared" si="32"/>
        <v>1167000</v>
      </c>
      <c r="U82" s="101">
        <f t="shared" si="32"/>
        <v>24019000</v>
      </c>
      <c r="V82" s="101">
        <f t="shared" si="32"/>
        <v>14320000</v>
      </c>
      <c r="W82" s="101">
        <f t="shared" si="32"/>
        <v>9407000</v>
      </c>
      <c r="X82" s="101">
        <f t="shared" si="32"/>
        <v>0</v>
      </c>
      <c r="Y82" s="101">
        <f t="shared" si="32"/>
        <v>292000</v>
      </c>
      <c r="Z82" s="101"/>
    </row>
    <row r="83" spans="1:26" s="98" customFormat="1" x14ac:dyDescent="0.25">
      <c r="B83" s="113"/>
      <c r="C83" s="11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221"/>
      <c r="V83" s="113"/>
      <c r="W83" s="113"/>
      <c r="X83" s="113"/>
      <c r="Y83" s="113"/>
      <c r="Z83" s="113"/>
    </row>
    <row r="84" spans="1:26" s="98" customFormat="1" x14ac:dyDescent="0.25">
      <c r="B84" s="113"/>
      <c r="C84" s="113"/>
      <c r="D84" s="114"/>
      <c r="E84" s="114"/>
      <c r="F84" s="114"/>
      <c r="G84" s="114"/>
      <c r="H84" s="114"/>
      <c r="I84" s="114"/>
      <c r="J84" s="114"/>
      <c r="K84" s="114"/>
      <c r="L84" s="104">
        <f>K82+H82</f>
        <v>379966066.94999993</v>
      </c>
      <c r="M84" s="104">
        <f>P82+S82-T82</f>
        <v>37999773.050000004</v>
      </c>
      <c r="N84" s="115"/>
      <c r="O84" s="114"/>
      <c r="P84" s="104">
        <f>G82-L82</f>
        <v>21964773.050000131</v>
      </c>
      <c r="Q84" s="114"/>
      <c r="R84" s="114"/>
      <c r="S84" s="114"/>
      <c r="T84" s="114"/>
      <c r="U84" s="222"/>
      <c r="V84" s="116"/>
      <c r="W84" s="116"/>
      <c r="X84" s="116"/>
      <c r="Y84" s="116"/>
      <c r="Z84" s="113"/>
    </row>
    <row r="85" spans="1:26" s="98" customFormat="1" x14ac:dyDescent="0.25">
      <c r="B85" s="113"/>
      <c r="C85" s="113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221"/>
      <c r="V85" s="113"/>
      <c r="W85" s="113"/>
      <c r="X85" s="113"/>
      <c r="Y85" s="113"/>
      <c r="Z85" s="113"/>
    </row>
    <row r="86" spans="1:26" s="98" customFormat="1" hidden="1" x14ac:dyDescent="0.25">
      <c r="B86" s="113"/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 t="s">
        <v>450</v>
      </c>
      <c r="P86" s="114"/>
      <c r="Q86" s="104">
        <f>'[1]תבל '!$AY$87</f>
        <v>2550000</v>
      </c>
      <c r="R86" s="114"/>
      <c r="S86" s="114"/>
      <c r="T86" s="114"/>
      <c r="U86" s="221"/>
      <c r="V86" s="113"/>
      <c r="W86" s="113"/>
      <c r="X86" s="113"/>
      <c r="Y86" s="113"/>
      <c r="Z86" s="113"/>
    </row>
    <row r="87" spans="1:26" hidden="1" x14ac:dyDescent="0.25"/>
    <row r="88" spans="1:26" hidden="1" x14ac:dyDescent="0.25">
      <c r="N88" s="105" t="s">
        <v>412</v>
      </c>
      <c r="R88" s="104">
        <f>'[1]ריכוז תקציבים מעבר לתוכנית 31.8'!$AD$100</f>
        <v>14652000</v>
      </c>
      <c r="S88" s="105">
        <f>R82-R88</f>
        <v>0</v>
      </c>
    </row>
    <row r="90" spans="1:26" hidden="1" x14ac:dyDescent="0.25">
      <c r="O90" s="114" t="s">
        <v>222</v>
      </c>
      <c r="R90" s="105">
        <f>2290000+3500000+572000</f>
        <v>6362000</v>
      </c>
    </row>
    <row r="91" spans="1:26" hidden="1" x14ac:dyDescent="0.25">
      <c r="O91" s="105" t="s">
        <v>451</v>
      </c>
      <c r="R91" s="105">
        <f>500000+150000+850000+500000+250000+800000+415000+305000</f>
        <v>3770000</v>
      </c>
    </row>
    <row r="92" spans="1:26" s="105" customFormat="1" hidden="1" x14ac:dyDescent="0.25">
      <c r="A92" s="81"/>
      <c r="B92" s="80"/>
      <c r="C92" s="80"/>
      <c r="R92" s="105">
        <f>SUM(R90:R91)</f>
        <v>10132000</v>
      </c>
      <c r="U92" s="211"/>
      <c r="V92" s="80"/>
      <c r="W92" s="80"/>
      <c r="X92" s="80"/>
      <c r="Y92" s="80"/>
      <c r="Z92" s="80"/>
    </row>
    <row r="93" spans="1:26" hidden="1" x14ac:dyDescent="0.25"/>
    <row r="94" spans="1:26" hidden="1" x14ac:dyDescent="0.25">
      <c r="R94" s="203">
        <v>150000</v>
      </c>
      <c r="S94" s="105" t="s">
        <v>477</v>
      </c>
      <c r="T94" s="105" t="s">
        <v>521</v>
      </c>
    </row>
    <row r="95" spans="1:26" hidden="1" x14ac:dyDescent="0.25">
      <c r="R95" s="203">
        <v>2000000</v>
      </c>
      <c r="S95" s="105" t="s">
        <v>476</v>
      </c>
    </row>
    <row r="96" spans="1:26" hidden="1" x14ac:dyDescent="0.25">
      <c r="R96" s="203">
        <f>SUM(R94:R95)</f>
        <v>2150000</v>
      </c>
      <c r="S96" s="105" t="s">
        <v>521</v>
      </c>
    </row>
    <row r="97" spans="16:27" hidden="1" x14ac:dyDescent="0.25">
      <c r="R97" s="105">
        <v>2270000</v>
      </c>
      <c r="S97" s="105" t="s">
        <v>517</v>
      </c>
    </row>
    <row r="98" spans="16:27" hidden="1" x14ac:dyDescent="0.25">
      <c r="P98" s="105" t="s">
        <v>518</v>
      </c>
      <c r="Q98" s="203">
        <f>'[3]תבל '!$AZ$85</f>
        <v>1000000</v>
      </c>
      <c r="R98" s="105">
        <f>R82-R96-R97</f>
        <v>10232000</v>
      </c>
      <c r="S98" s="105" t="s">
        <v>519</v>
      </c>
    </row>
    <row r="99" spans="16:27" hidden="1" x14ac:dyDescent="0.25">
      <c r="P99" s="105" t="s">
        <v>524</v>
      </c>
      <c r="Q99" s="105">
        <f>'[5]תבל '!$BC$86</f>
        <v>1550000</v>
      </c>
      <c r="R99" s="105">
        <f>R80+R75+R74+R69+R61+R58+R43+1500000</f>
        <v>10232000</v>
      </c>
      <c r="S99" s="105" t="s">
        <v>533</v>
      </c>
    </row>
    <row r="100" spans="16:27" hidden="1" x14ac:dyDescent="0.25">
      <c r="Q100" s="203">
        <f>SUM(Q98:Q99)</f>
        <v>2550000</v>
      </c>
      <c r="S100" s="114">
        <v>1946</v>
      </c>
      <c r="T100" s="105">
        <v>590000</v>
      </c>
    </row>
    <row r="101" spans="16:27" hidden="1" x14ac:dyDescent="0.25">
      <c r="S101" s="114">
        <v>1942</v>
      </c>
      <c r="T101" s="105">
        <v>572000</v>
      </c>
    </row>
    <row r="102" spans="16:27" hidden="1" x14ac:dyDescent="0.25">
      <c r="S102" s="114">
        <v>1918</v>
      </c>
      <c r="T102" s="105">
        <v>850000</v>
      </c>
    </row>
    <row r="103" spans="16:27" hidden="1" x14ac:dyDescent="0.25">
      <c r="R103" s="105">
        <f>R98-R99</f>
        <v>0</v>
      </c>
      <c r="S103" s="114">
        <v>1883</v>
      </c>
      <c r="T103" s="105">
        <v>500000</v>
      </c>
      <c r="AA103" s="80" t="s">
        <v>551</v>
      </c>
    </row>
    <row r="104" spans="16:27" hidden="1" x14ac:dyDescent="0.25">
      <c r="S104" s="114">
        <v>1770</v>
      </c>
      <c r="T104" s="105">
        <v>2290000</v>
      </c>
    </row>
    <row r="105" spans="16:27" hidden="1" x14ac:dyDescent="0.25">
      <c r="S105" s="105">
        <v>1917</v>
      </c>
      <c r="T105" s="105">
        <v>1500000</v>
      </c>
    </row>
    <row r="106" spans="16:27" hidden="1" x14ac:dyDescent="0.25">
      <c r="S106" s="105">
        <v>1886</v>
      </c>
      <c r="T106" s="105">
        <v>2530000</v>
      </c>
    </row>
    <row r="107" spans="16:27" hidden="1" x14ac:dyDescent="0.25">
      <c r="S107" s="105" t="s">
        <v>559</v>
      </c>
      <c r="T107" s="105">
        <v>1400000</v>
      </c>
      <c r="AA107" s="80" t="s">
        <v>551</v>
      </c>
    </row>
    <row r="108" spans="16:27" hidden="1" x14ac:dyDescent="0.25">
      <c r="T108" s="80"/>
      <c r="U108" s="105">
        <f>SUM(T100:T107)</f>
        <v>10232000</v>
      </c>
    </row>
    <row r="109" spans="16:27" x14ac:dyDescent="0.25">
      <c r="U109" s="213">
        <f>R99-U108</f>
        <v>0</v>
      </c>
    </row>
  </sheetData>
  <sheetProtection algorithmName="SHA-512" hashValue="cnIu/muK9hbQGXueeID/bQweLCX3JNsA2eXXu/OpQ8vFJ8pVtR/yG7DTGCv45pLSWu1RUk1Q6NnSmy8l4Jx7mw==" saltValue="3UOfphsJhabIS8Qaqglc0A==" spinCount="100000" sheet="1" formatCells="0" formatColumns="0" formatRows="0" insertColumns="0" insertRows="0" insertHyperlinks="0" deleteColumns="0" deleteRows="0" sort="0" autoFilter="0" pivotTables="0"/>
  <mergeCells count="1">
    <mergeCell ref="A2:Y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0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4" spans="1:17" ht="21" x14ac:dyDescent="0.25">
      <c r="A4" s="258"/>
      <c r="C4" s="255" t="s">
        <v>720</v>
      </c>
      <c r="D4" s="258"/>
      <c r="E4" s="258"/>
      <c r="F4" s="258"/>
      <c r="G4" s="258"/>
      <c r="H4" s="258"/>
      <c r="I4" s="258"/>
      <c r="J4" s="258"/>
      <c r="K4" s="258"/>
      <c r="L4" s="258"/>
    </row>
    <row r="5" spans="1:17" ht="21.6" thickBot="1" x14ac:dyDescent="0.3">
      <c r="A5" s="258"/>
      <c r="C5" s="255"/>
      <c r="D5" s="258"/>
      <c r="E5" s="258"/>
      <c r="F5" s="258"/>
      <c r="G5" s="258"/>
      <c r="H5" s="258"/>
      <c r="I5" s="258"/>
      <c r="J5" s="258"/>
      <c r="K5" s="258"/>
      <c r="L5" s="258"/>
    </row>
    <row r="6" spans="1:17" ht="16.2" thickBot="1" x14ac:dyDescent="0.3">
      <c r="A6" s="258"/>
      <c r="B6" s="343" t="s">
        <v>588</v>
      </c>
      <c r="C6" s="258" t="s">
        <v>719</v>
      </c>
      <c r="D6" s="258"/>
      <c r="E6" s="258"/>
      <c r="F6" s="360">
        <f>'פרוט בטחון פיקוח '!U12</f>
        <v>500000</v>
      </c>
      <c r="I6" s="258"/>
      <c r="J6" s="258"/>
      <c r="K6" s="258"/>
      <c r="L6" s="258"/>
    </row>
    <row r="7" spans="1:17" ht="21.6" thickBot="1" x14ac:dyDescent="0.3">
      <c r="A7" s="258"/>
      <c r="C7" s="255"/>
      <c r="D7" s="258"/>
      <c r="E7" s="258"/>
      <c r="F7" s="258"/>
      <c r="H7" s="258"/>
      <c r="I7" s="258"/>
      <c r="J7" s="258"/>
      <c r="K7" s="258"/>
      <c r="L7" s="258"/>
    </row>
    <row r="8" spans="1:17" ht="16.2" thickBot="1" x14ac:dyDescent="0.3">
      <c r="B8" s="343" t="s">
        <v>588</v>
      </c>
      <c r="C8" s="258" t="s">
        <v>718</v>
      </c>
      <c r="D8" s="258"/>
      <c r="F8" s="361">
        <f>'פרוט בטחון פיקוח '!A12</f>
        <v>4</v>
      </c>
      <c r="I8" s="258"/>
      <c r="J8" s="258"/>
      <c r="K8" s="258"/>
      <c r="L8" s="258"/>
      <c r="M8" s="258"/>
      <c r="N8" s="258"/>
      <c r="O8" s="258"/>
      <c r="P8" s="258"/>
      <c r="Q8" s="258"/>
    </row>
    <row r="9" spans="1:17" ht="15.6" x14ac:dyDescent="0.25">
      <c r="B9" s="343"/>
      <c r="C9" s="258"/>
      <c r="D9" s="258"/>
      <c r="E9" s="258"/>
      <c r="F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B10" s="343" t="s">
        <v>588</v>
      </c>
      <c r="C10" s="258" t="s">
        <v>698</v>
      </c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7" ht="16.2" thickBot="1" x14ac:dyDescent="0.3"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D12" s="359" t="s">
        <v>571</v>
      </c>
      <c r="E12" s="353" t="s">
        <v>693</v>
      </c>
      <c r="F12" s="352" t="s">
        <v>697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14</v>
      </c>
      <c r="E13" s="355">
        <f>'פרוט בטחון פיקוח '!U12</f>
        <v>500000</v>
      </c>
      <c r="F13" s="362">
        <f>E13/E14</f>
        <v>1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6.2" thickBot="1" x14ac:dyDescent="0.3">
      <c r="C14" s="343"/>
      <c r="D14" s="350" t="s">
        <v>248</v>
      </c>
      <c r="E14" s="356">
        <f>SUM(E13)</f>
        <v>500000</v>
      </c>
      <c r="F14" s="408">
        <f>SUM(F13)</f>
        <v>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5.6" x14ac:dyDescent="0.25">
      <c r="B15" s="343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/>
      <c r="C16" s="258"/>
      <c r="D16" s="258"/>
      <c r="F16" s="258"/>
      <c r="H16" s="265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2:17" ht="15.6" x14ac:dyDescent="0.25">
      <c r="B17" s="343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2:17" ht="15.6" x14ac:dyDescent="0.25">
      <c r="B18" s="343" t="s">
        <v>588</v>
      </c>
      <c r="C18" s="258" t="s">
        <v>819</v>
      </c>
      <c r="D18" s="258"/>
      <c r="F18" s="258"/>
      <c r="H18" s="265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2:17" ht="15.6" x14ac:dyDescent="0.25">
      <c r="B19" s="343"/>
      <c r="C19" s="258"/>
      <c r="D19" s="258"/>
      <c r="F19" s="258"/>
      <c r="H19" s="265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2:17" ht="15.6" x14ac:dyDescent="0.25">
      <c r="B20" s="343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</sheetData>
  <sheetProtection algorithmName="SHA-512" hashValue="hZaT5z8Gadsr2RTw4+hqF+Qp77c6Y68fIFPeTUUjbNn8VJJ2HDVRPco8rrwj83QOu1a+wRBpAzTYvH+O63yxiw==" saltValue="omtfsuWsEVluiiwFRn6Gs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6"/>
  <sheetViews>
    <sheetView showZeros="0" rightToLeft="1" zoomScaleNormal="100" workbookViewId="0">
      <pane xSplit="3" ySplit="5" topLeftCell="D6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5.6640625" style="21" customWidth="1"/>
    <col min="4" max="4" width="11.33203125" style="19" customWidth="1"/>
    <col min="5" max="5" width="11" style="19" customWidth="1"/>
    <col min="6" max="6" width="9" style="19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1.109375" style="19" bestFit="1" customWidth="1"/>
    <col min="14" max="14" width="9.88671875" style="19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9.88671875" style="19" hidden="1" customWidth="1"/>
    <col min="21" max="21" width="9.44140625" style="21" customWidth="1"/>
    <col min="22" max="22" width="7.5546875" style="21" customWidth="1"/>
    <col min="23" max="23" width="11.33203125" style="21" customWidth="1"/>
    <col min="24" max="24" width="7.109375" style="21" hidden="1" customWidth="1"/>
    <col min="25" max="25" width="10.44140625" style="21" customWidth="1"/>
    <col min="26" max="26" width="7.88671875" style="21" hidden="1" customWidth="1"/>
    <col min="27" max="27" width="9.109375" style="21" customWidth="1"/>
    <col min="28" max="16384" width="9.109375" style="21"/>
  </cols>
  <sheetData>
    <row r="2" spans="1:26" s="1" customFormat="1" ht="18" x14ac:dyDescent="0.35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6" ht="18" x14ac:dyDescent="0.35">
      <c r="A3" s="450" t="s">
        <v>375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</row>
    <row r="5" spans="1:26" s="59" customFormat="1" ht="69" x14ac:dyDescent="0.25">
      <c r="A5" s="4" t="s">
        <v>830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82" t="s">
        <v>492</v>
      </c>
      <c r="N5" s="4" t="s">
        <v>299</v>
      </c>
      <c r="O5" s="4" t="s">
        <v>300</v>
      </c>
      <c r="P5" s="4" t="s">
        <v>12</v>
      </c>
      <c r="Q5" s="4" t="s">
        <v>301</v>
      </c>
      <c r="R5" s="4" t="s">
        <v>302</v>
      </c>
      <c r="S5" s="4" t="s">
        <v>303</v>
      </c>
      <c r="T5" s="4" t="s">
        <v>304</v>
      </c>
      <c r="U5" s="4" t="s">
        <v>305</v>
      </c>
      <c r="V5" s="186" t="s">
        <v>13</v>
      </c>
      <c r="W5" s="4" t="s">
        <v>14</v>
      </c>
      <c r="X5" s="176" t="s">
        <v>15</v>
      </c>
      <c r="Y5" s="4" t="s">
        <v>223</v>
      </c>
      <c r="Z5" s="4" t="s">
        <v>16</v>
      </c>
    </row>
    <row r="6" spans="1:26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87"/>
      <c r="W6" s="7"/>
      <c r="X6" s="190"/>
      <c r="Y6" s="6"/>
      <c r="Z6" s="10"/>
    </row>
    <row r="7" spans="1:26" s="8" customFormat="1" ht="18" customHeigh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87"/>
      <c r="W7" s="7"/>
      <c r="X7" s="190"/>
      <c r="Y7" s="6"/>
      <c r="Z7" s="6"/>
    </row>
    <row r="8" spans="1:26" s="8" customFormat="1" x14ac:dyDescent="0.25">
      <c r="A8" s="6">
        <v>1</v>
      </c>
      <c r="B8" s="6">
        <v>1621</v>
      </c>
      <c r="C8" s="6" t="s">
        <v>124</v>
      </c>
      <c r="D8" s="7">
        <f>1350000+50000+550000</f>
        <v>1950000</v>
      </c>
      <c r="E8" s="7">
        <v>1350000</v>
      </c>
      <c r="F8" s="7">
        <f>D8-E8</f>
        <v>600000</v>
      </c>
      <c r="G8" s="7">
        <v>300000</v>
      </c>
      <c r="H8" s="7">
        <v>297909.8</v>
      </c>
      <c r="I8" s="7"/>
      <c r="J8" s="7"/>
      <c r="K8" s="7">
        <f>SUM(I8:J8)</f>
        <v>0</v>
      </c>
      <c r="L8" s="7">
        <f>H8+K8</f>
        <v>297909.8</v>
      </c>
      <c r="M8" s="7">
        <f>P8+S8</f>
        <v>502090.2</v>
      </c>
      <c r="N8" s="7">
        <v>500000</v>
      </c>
      <c r="O8" s="7">
        <f>D8-L8-M8-N8</f>
        <v>650000</v>
      </c>
      <c r="P8" s="7">
        <f>G8-L8</f>
        <v>2090.2000000000116</v>
      </c>
      <c r="Q8" s="197">
        <f>375000</f>
        <v>375000</v>
      </c>
      <c r="R8" s="197">
        <f>675000-550000</f>
        <v>125000</v>
      </c>
      <c r="S8" s="7">
        <f>SUM(Q8:R8)</f>
        <v>500000</v>
      </c>
      <c r="T8" s="7">
        <f>P8-M8+S8</f>
        <v>0</v>
      </c>
      <c r="U8" s="15">
        <f>N8-T8</f>
        <v>500000</v>
      </c>
      <c r="V8" s="187"/>
      <c r="W8" s="7">
        <f>U8-V8-X8-Y8</f>
        <v>500000</v>
      </c>
      <c r="X8" s="190"/>
      <c r="Y8" s="6"/>
      <c r="Z8" s="6">
        <v>723000</v>
      </c>
    </row>
    <row r="9" spans="1:26" s="8" customFormat="1" x14ac:dyDescent="0.25">
      <c r="A9" s="117">
        <f>A8+1</f>
        <v>2</v>
      </c>
      <c r="B9" s="117">
        <v>1857</v>
      </c>
      <c r="C9" s="117" t="s">
        <v>373</v>
      </c>
      <c r="D9" s="118">
        <v>373500</v>
      </c>
      <c r="E9" s="118">
        <v>373500</v>
      </c>
      <c r="F9" s="7">
        <f>D9-E9</f>
        <v>0</v>
      </c>
      <c r="G9" s="118">
        <v>200000</v>
      </c>
      <c r="H9" s="118">
        <v>11700</v>
      </c>
      <c r="I9" s="118"/>
      <c r="J9" s="118"/>
      <c r="K9" s="118">
        <f>SUM(I9:J9)</f>
        <v>0</v>
      </c>
      <c r="L9" s="118">
        <f>H9+K9</f>
        <v>11700</v>
      </c>
      <c r="M9" s="7">
        <f>P9+S9</f>
        <v>361800</v>
      </c>
      <c r="N9" s="118"/>
      <c r="O9" s="118">
        <f>D9-L9-M9-N9</f>
        <v>0</v>
      </c>
      <c r="P9" s="118">
        <f>G9-L9</f>
        <v>188300</v>
      </c>
      <c r="Q9" s="150">
        <v>100000</v>
      </c>
      <c r="R9" s="197">
        <v>73500</v>
      </c>
      <c r="S9" s="118">
        <f>SUM(Q9:R9)</f>
        <v>173500</v>
      </c>
      <c r="T9" s="118">
        <f>P9-M9+S9</f>
        <v>0</v>
      </c>
      <c r="U9" s="118">
        <f>N9-T9</f>
        <v>0</v>
      </c>
      <c r="V9" s="188"/>
      <c r="W9" s="118">
        <f>U9-V9-X9-Y9</f>
        <v>0</v>
      </c>
      <c r="X9" s="191"/>
      <c r="Y9" s="117"/>
      <c r="Z9" s="117">
        <v>810000</v>
      </c>
    </row>
    <row r="10" spans="1:26" s="8" customFormat="1" x14ac:dyDescent="0.25">
      <c r="A10" s="6">
        <f>A9+1</f>
        <v>3</v>
      </c>
      <c r="B10" s="6">
        <v>1858</v>
      </c>
      <c r="C10" s="6" t="s">
        <v>374</v>
      </c>
      <c r="D10" s="7">
        <v>75000</v>
      </c>
      <c r="E10" s="7">
        <v>75000</v>
      </c>
      <c r="F10" s="7">
        <f>D10-E10</f>
        <v>0</v>
      </c>
      <c r="G10" s="7">
        <v>0</v>
      </c>
      <c r="H10" s="7">
        <v>0</v>
      </c>
      <c r="I10" s="7"/>
      <c r="J10" s="7"/>
      <c r="K10" s="7">
        <f>SUM(I10:J10)</f>
        <v>0</v>
      </c>
      <c r="L10" s="7">
        <f>H10+K10</f>
        <v>0</v>
      </c>
      <c r="M10" s="7">
        <f>P10+S10</f>
        <v>75000</v>
      </c>
      <c r="N10" s="7"/>
      <c r="O10" s="7">
        <f>D10-L10-M10-N10</f>
        <v>0</v>
      </c>
      <c r="P10" s="7">
        <f>G10-L10</f>
        <v>0</v>
      </c>
      <c r="Q10" s="197">
        <v>75000</v>
      </c>
      <c r="R10" s="7"/>
      <c r="S10" s="7">
        <f>SUM(Q10:R10)</f>
        <v>75000</v>
      </c>
      <c r="T10" s="7">
        <f>P10-M10+S10</f>
        <v>0</v>
      </c>
      <c r="U10" s="7">
        <f>N10-T10</f>
        <v>0</v>
      </c>
      <c r="V10" s="187"/>
      <c r="W10" s="7">
        <f>U10-V10-X10-Y10</f>
        <v>0</v>
      </c>
      <c r="X10" s="190"/>
      <c r="Y10" s="6"/>
      <c r="Z10" s="6">
        <v>720000</v>
      </c>
    </row>
    <row r="11" spans="1:26" s="8" customFormat="1" ht="15.6" x14ac:dyDescent="0.25">
      <c r="A11" s="6">
        <v>4</v>
      </c>
      <c r="B11" s="6">
        <v>1948</v>
      </c>
      <c r="C11" s="146" t="s">
        <v>724</v>
      </c>
      <c r="D11" s="7">
        <v>150000</v>
      </c>
      <c r="E11" s="7"/>
      <c r="F11" s="7">
        <f>D11-E11</f>
        <v>150000</v>
      </c>
      <c r="G11" s="7"/>
      <c r="H11" s="7"/>
      <c r="I11" s="7"/>
      <c r="J11" s="7"/>
      <c r="K11" s="7"/>
      <c r="L11" s="7"/>
      <c r="M11" s="7">
        <f>P11+S11</f>
        <v>150000</v>
      </c>
      <c r="N11" s="7"/>
      <c r="O11" s="7"/>
      <c r="P11" s="7"/>
      <c r="Q11" s="7"/>
      <c r="R11" s="7">
        <v>150000</v>
      </c>
      <c r="S11" s="7">
        <f>SUM(Q11:R11)</f>
        <v>150000</v>
      </c>
      <c r="T11" s="7"/>
      <c r="U11" s="7"/>
      <c r="V11" s="187"/>
      <c r="W11" s="7"/>
      <c r="X11" s="190"/>
      <c r="Y11" s="6"/>
      <c r="Z11" s="6">
        <v>720000</v>
      </c>
    </row>
    <row r="12" spans="1:26" s="8" customFormat="1" ht="15.6" x14ac:dyDescent="0.25">
      <c r="A12" s="3">
        <f>A11</f>
        <v>4</v>
      </c>
      <c r="B12" s="11" t="s">
        <v>102</v>
      </c>
      <c r="C12" s="11" t="s">
        <v>376</v>
      </c>
      <c r="D12" s="12">
        <f>SUM(D8:D11)</f>
        <v>2548500</v>
      </c>
      <c r="E12" s="12">
        <f t="shared" ref="E12:Y12" si="0">SUM(E8:E11)</f>
        <v>1798500</v>
      </c>
      <c r="F12" s="12">
        <f t="shared" si="0"/>
        <v>750000</v>
      </c>
      <c r="G12" s="12">
        <f t="shared" si="0"/>
        <v>500000</v>
      </c>
      <c r="H12" s="12">
        <f t="shared" si="0"/>
        <v>309609.8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309609.8</v>
      </c>
      <c r="M12" s="12">
        <f t="shared" si="0"/>
        <v>1088890.2</v>
      </c>
      <c r="N12" s="12">
        <f t="shared" si="0"/>
        <v>500000</v>
      </c>
      <c r="O12" s="12">
        <f t="shared" si="0"/>
        <v>650000</v>
      </c>
      <c r="P12" s="12">
        <f t="shared" si="0"/>
        <v>190390.2</v>
      </c>
      <c r="Q12" s="12">
        <f t="shared" si="0"/>
        <v>550000</v>
      </c>
      <c r="R12" s="12">
        <f t="shared" si="0"/>
        <v>348500</v>
      </c>
      <c r="S12" s="12">
        <f t="shared" si="0"/>
        <v>898500</v>
      </c>
      <c r="T12" s="12">
        <f t="shared" si="0"/>
        <v>0</v>
      </c>
      <c r="U12" s="12">
        <f t="shared" si="0"/>
        <v>500000</v>
      </c>
      <c r="V12" s="12">
        <f t="shared" si="0"/>
        <v>0</v>
      </c>
      <c r="W12" s="12">
        <f t="shared" si="0"/>
        <v>500000</v>
      </c>
      <c r="X12" s="12">
        <f t="shared" si="0"/>
        <v>0</v>
      </c>
      <c r="Y12" s="12">
        <f t="shared" si="0"/>
        <v>0</v>
      </c>
      <c r="Z12" s="11"/>
    </row>
    <row r="13" spans="1:26" s="54" customFormat="1" x14ac:dyDescent="0.25">
      <c r="A13" s="6"/>
      <c r="B13" s="167"/>
      <c r="C13" s="1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167"/>
      <c r="V13" s="189"/>
      <c r="W13" s="167"/>
      <c r="X13" s="192"/>
      <c r="Y13" s="167"/>
      <c r="Z13" s="62"/>
    </row>
    <row r="14" spans="1:26" s="54" customFormat="1" x14ac:dyDescent="0.25">
      <c r="B14" s="62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  <c r="O14" s="63"/>
      <c r="P14" s="166">
        <f>G12-L12</f>
        <v>190390.2</v>
      </c>
      <c r="Q14" s="63"/>
      <c r="R14" s="63"/>
      <c r="S14" s="63"/>
      <c r="T14" s="63"/>
      <c r="U14" s="66"/>
      <c r="V14" s="116"/>
      <c r="W14" s="116"/>
      <c r="X14" s="116"/>
      <c r="Y14" s="116"/>
      <c r="Z14" s="62"/>
    </row>
    <row r="15" spans="1:26" s="54" customFormat="1" x14ac:dyDescent="0.25">
      <c r="B15" s="62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2"/>
      <c r="V15" s="62"/>
      <c r="W15" s="62"/>
      <c r="X15" s="62"/>
      <c r="Y15" s="62"/>
      <c r="Z15" s="62"/>
    </row>
    <row r="16" spans="1:26" s="54" customFormat="1" hidden="1" x14ac:dyDescent="0.25">
      <c r="B16" s="62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 t="s">
        <v>452</v>
      </c>
      <c r="P16" s="63"/>
      <c r="Q16" s="68">
        <f>[1]בטחון!$AY$12</f>
        <v>550000</v>
      </c>
      <c r="R16" s="63"/>
      <c r="S16" s="63"/>
      <c r="T16" s="63"/>
      <c r="U16" s="62"/>
      <c r="V16" s="62"/>
      <c r="W16" s="62"/>
      <c r="X16" s="62"/>
      <c r="Y16" s="62"/>
      <c r="Z16" s="62"/>
    </row>
    <row r="17" spans="1:26" s="54" customFormat="1" hidden="1" x14ac:dyDescent="0.25">
      <c r="B17" s="62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P17" s="63"/>
      <c r="Q17" s="63"/>
      <c r="R17" s="63"/>
      <c r="S17" s="63"/>
      <c r="T17" s="63"/>
      <c r="U17" s="62"/>
      <c r="V17" s="62"/>
      <c r="W17" s="62"/>
      <c r="X17" s="62"/>
      <c r="Y17" s="62"/>
      <c r="Z17" s="62"/>
    </row>
    <row r="18" spans="1:26" s="54" customFormat="1" hidden="1" x14ac:dyDescent="0.25">
      <c r="B18" s="62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05" t="s">
        <v>412</v>
      </c>
      <c r="P18" s="63"/>
      <c r="Q18" s="63"/>
      <c r="R18" s="68">
        <f>'[1]ריכוז תקציבים מעבר לתוכנית 31.8'!$AD$106</f>
        <v>348500</v>
      </c>
      <c r="S18" s="63"/>
      <c r="T18" s="63"/>
      <c r="U18" s="62"/>
      <c r="V18" s="62"/>
      <c r="W18" s="62"/>
      <c r="X18" s="62"/>
      <c r="Y18" s="62"/>
      <c r="Z18" s="62"/>
    </row>
    <row r="19" spans="1:26" s="54" customFormat="1" hidden="1" x14ac:dyDescent="0.25"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2"/>
      <c r="V19" s="62"/>
      <c r="W19" s="62"/>
      <c r="X19" s="62"/>
      <c r="Y19" s="62"/>
      <c r="Z19" s="62"/>
    </row>
    <row r="20" spans="1:26" s="54" customFormat="1" hidden="1" x14ac:dyDescent="0.25"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 t="s">
        <v>517</v>
      </c>
      <c r="P20" s="63"/>
      <c r="Q20" s="63"/>
      <c r="R20" s="197">
        <v>198500</v>
      </c>
      <c r="S20" s="63"/>
      <c r="T20" s="63"/>
      <c r="U20" s="62"/>
      <c r="V20" s="62"/>
      <c r="W20" s="62"/>
      <c r="X20" s="62"/>
      <c r="Y20" s="62"/>
      <c r="Z20" s="62"/>
    </row>
    <row r="21" spans="1:26" s="54" customFormat="1" hidden="1" x14ac:dyDescent="0.25">
      <c r="B21" s="62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 t="s">
        <v>531</v>
      </c>
      <c r="R21" s="63">
        <f>R12-R20</f>
        <v>150000</v>
      </c>
      <c r="S21" s="63" t="s">
        <v>532</v>
      </c>
      <c r="T21" s="63"/>
      <c r="U21" s="62"/>
      <c r="V21" s="62"/>
      <c r="W21" s="62"/>
      <c r="X21" s="62"/>
      <c r="Y21" s="62"/>
      <c r="Z21" s="62"/>
    </row>
    <row r="22" spans="1:26" s="54" customFormat="1" hidden="1" x14ac:dyDescent="0.25">
      <c r="B22" s="62"/>
      <c r="C22" s="6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2"/>
      <c r="V22" s="62"/>
      <c r="W22" s="62"/>
      <c r="X22" s="62"/>
      <c r="Y22" s="62"/>
      <c r="Z22" s="62"/>
    </row>
    <row r="23" spans="1:26" s="54" customFormat="1" hidden="1" x14ac:dyDescent="0.25">
      <c r="B23" s="62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 t="s">
        <v>518</v>
      </c>
      <c r="P23" s="63"/>
      <c r="Q23" s="63">
        <f>[3]בטחון!$AZ$12</f>
        <v>100000</v>
      </c>
      <c r="R23" s="63"/>
      <c r="S23" s="63"/>
      <c r="T23" s="63"/>
      <c r="U23" s="62"/>
      <c r="V23" s="62"/>
      <c r="W23" s="62"/>
      <c r="X23" s="62"/>
      <c r="Y23" s="62"/>
      <c r="Z23" s="62"/>
    </row>
    <row r="24" spans="1:26" s="67" customFormat="1" ht="15.6" hidden="1" x14ac:dyDescent="0.25">
      <c r="B24" s="62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 t="s">
        <v>524</v>
      </c>
      <c r="P24" s="63"/>
      <c r="Q24" s="63">
        <f>[5]בטחון!$BC$12</f>
        <v>450000</v>
      </c>
      <c r="R24" s="63"/>
      <c r="S24" s="63"/>
      <c r="T24" s="63"/>
      <c r="U24" s="62"/>
      <c r="V24" s="62"/>
      <c r="W24" s="62"/>
      <c r="X24" s="62"/>
      <c r="Y24" s="62"/>
      <c r="Z24" s="62"/>
    </row>
    <row r="25" spans="1:26" s="67" customFormat="1" ht="15.6" x14ac:dyDescent="0.25">
      <c r="B25" s="62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>
        <f>SUM(Q23:Q24)</f>
        <v>550000</v>
      </c>
      <c r="R25" s="63"/>
      <c r="S25" s="63"/>
      <c r="T25" s="63"/>
      <c r="U25" s="62"/>
      <c r="V25" s="62"/>
      <c r="W25" s="62"/>
      <c r="X25" s="62"/>
      <c r="Y25" s="62"/>
      <c r="Z25" s="62"/>
    </row>
    <row r="26" spans="1:26" s="62" customFormat="1" x14ac:dyDescent="0.25">
      <c r="A26" s="64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</sheetData>
  <sheetProtection algorithmName="SHA-512" hashValue="RvYXBq/ztPL7R8uHWIotcFLjOZbl/eB9wjCwUCZMDEKC4tYVyXr5TpWa7EXlpJBNHq1ibgOaPug0iPm7kHTJsQ==" saltValue="P/kXWBbjr2eMQ6/S/HBzRw==" spinCount="100000" sheet="1" formatCells="0" formatColumns="0" formatRows="0" insertColumns="0" insertRows="0" insertHyperlinks="0" deleteColumns="0" deleteRows="0" sort="0" autoFilter="0" pivotTables="0"/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1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5" spans="1:17" ht="21" x14ac:dyDescent="0.25">
      <c r="A5" s="258"/>
      <c r="C5" s="255" t="s">
        <v>267</v>
      </c>
      <c r="D5" s="258"/>
      <c r="E5" s="258"/>
      <c r="F5" s="258"/>
      <c r="G5" s="258"/>
      <c r="H5" s="258"/>
      <c r="I5" s="258"/>
      <c r="J5" s="258"/>
      <c r="K5" s="258"/>
      <c r="L5" s="258"/>
    </row>
    <row r="6" spans="1:17" ht="21.6" thickBot="1" x14ac:dyDescent="0.3">
      <c r="A6" s="258"/>
      <c r="C6" s="255"/>
      <c r="D6" s="258"/>
      <c r="E6" s="258"/>
      <c r="F6" s="258"/>
      <c r="G6" s="258"/>
      <c r="H6" s="258"/>
      <c r="I6" s="258"/>
      <c r="J6" s="258"/>
      <c r="K6" s="258"/>
      <c r="L6" s="258"/>
    </row>
    <row r="7" spans="1:17" ht="16.2" thickBot="1" x14ac:dyDescent="0.3">
      <c r="A7" s="258"/>
      <c r="B7" s="343" t="s">
        <v>588</v>
      </c>
      <c r="C7" s="258" t="s">
        <v>719</v>
      </c>
      <c r="D7" s="258"/>
      <c r="E7" s="258"/>
      <c r="F7" s="360">
        <f>'פרוט חינוך תנוס '!U45</f>
        <v>2255079</v>
      </c>
      <c r="I7" s="258"/>
      <c r="J7" s="258"/>
      <c r="K7" s="258"/>
      <c r="L7" s="258"/>
    </row>
    <row r="8" spans="1:17" ht="21.6" thickBot="1" x14ac:dyDescent="0.3">
      <c r="A8" s="258"/>
      <c r="C8" s="255"/>
      <c r="D8" s="258"/>
      <c r="E8" s="258"/>
      <c r="F8" s="258"/>
      <c r="H8" s="258"/>
      <c r="I8" s="258"/>
      <c r="J8" s="258"/>
      <c r="K8" s="258"/>
      <c r="L8" s="258"/>
    </row>
    <row r="9" spans="1:17" ht="16.2" thickBot="1" x14ac:dyDescent="0.3">
      <c r="B9" s="343" t="s">
        <v>588</v>
      </c>
      <c r="C9" s="258" t="s">
        <v>718</v>
      </c>
      <c r="D9" s="258"/>
      <c r="F9" s="360">
        <f>'פרוט חינוך תנוס '!A45</f>
        <v>33</v>
      </c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B10" s="343"/>
      <c r="C10" s="258"/>
      <c r="D10" s="258"/>
      <c r="E10" s="258"/>
      <c r="F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B11" s="343" t="s">
        <v>588</v>
      </c>
      <c r="C11" s="258" t="s">
        <v>698</v>
      </c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7" ht="16.2" thickBot="1" x14ac:dyDescent="0.3"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D13" s="359" t="s">
        <v>571</v>
      </c>
      <c r="E13" s="353" t="s">
        <v>693</v>
      </c>
      <c r="F13" s="352" t="s">
        <v>697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C14" s="343"/>
      <c r="D14" s="351" t="s">
        <v>14</v>
      </c>
      <c r="E14" s="365">
        <f>'פרוט חינוך תנוס '!W45</f>
        <v>1745000</v>
      </c>
      <c r="F14" s="362">
        <f>E14/$E$16</f>
        <v>0.77380881113255895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5.6" x14ac:dyDescent="0.25">
      <c r="C15" s="343"/>
      <c r="D15" s="351" t="s">
        <v>223</v>
      </c>
      <c r="E15" s="365">
        <f>'פרוט חינוך תנוס '!Y45</f>
        <v>510079</v>
      </c>
      <c r="F15" s="362">
        <f>E15/$E$16</f>
        <v>0.226191188867441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6.2" thickBot="1" x14ac:dyDescent="0.3">
      <c r="C16" s="343"/>
      <c r="D16" s="350" t="s">
        <v>248</v>
      </c>
      <c r="E16" s="420">
        <f>SUM(E14:E15)</f>
        <v>2255079</v>
      </c>
      <c r="F16" s="363">
        <f>SUM(F14:F15)</f>
        <v>1</v>
      </c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2:17" ht="15.6" x14ac:dyDescent="0.25">
      <c r="B17" s="343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2:17" ht="15.6" x14ac:dyDescent="0.25">
      <c r="B18" s="343" t="s">
        <v>588</v>
      </c>
      <c r="C18" s="258" t="s">
        <v>706</v>
      </c>
      <c r="D18" s="258"/>
      <c r="F18" s="258"/>
      <c r="H18" s="265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2:17" ht="15.6" x14ac:dyDescent="0.25">
      <c r="B19" s="343"/>
      <c r="C19" s="258"/>
      <c r="D19" s="258"/>
      <c r="F19" s="258"/>
      <c r="H19" s="265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2:17" ht="15.6" x14ac:dyDescent="0.25">
      <c r="C20" s="258"/>
      <c r="D20" s="258" t="s">
        <v>796</v>
      </c>
      <c r="E20" s="258"/>
      <c r="F20" s="258"/>
      <c r="H20" s="258"/>
      <c r="I20" s="258"/>
      <c r="J20" s="258"/>
      <c r="K20" s="258"/>
      <c r="L20" s="258"/>
    </row>
    <row r="21" spans="2:17" ht="15.6" x14ac:dyDescent="0.25">
      <c r="B21" s="343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</row>
  </sheetData>
  <sheetProtection algorithmName="SHA-512" hashValue="9hNy95d5pwRzzaC+KG25/4Ml6djcaBYmKENZZK4x/mIhYO2g02EnU2KTzGPAFgdM8U2MAJ0738vOsJiWkH0qUw==" saltValue="oHdrMIz72dYy+IVLx5J0K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62"/>
  <sheetViews>
    <sheetView showZeros="0" rightToLeft="1" zoomScaleNormal="100" workbookViewId="0">
      <pane xSplit="3" ySplit="4" topLeftCell="D5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8.33203125" style="80" customWidth="1"/>
    <col min="4" max="5" width="12.6640625" style="105" customWidth="1"/>
    <col min="6" max="6" width="11.109375" style="105" customWidth="1"/>
    <col min="7" max="10" width="12.6640625" style="105" hidden="1" customWidth="1"/>
    <col min="11" max="11" width="11.33203125" style="105" hidden="1" customWidth="1"/>
    <col min="12" max="12" width="12.6640625" style="105" customWidth="1"/>
    <col min="13" max="13" width="9.88671875" style="105" customWidth="1"/>
    <col min="14" max="14" width="11.109375" style="105" bestFit="1" customWidth="1"/>
    <col min="15" max="15" width="10.88671875" style="105" customWidth="1"/>
    <col min="16" max="17" width="11.109375" style="105" hidden="1" customWidth="1"/>
    <col min="18" max="19" width="12" style="105" hidden="1" customWidth="1"/>
    <col min="20" max="20" width="10" style="105" hidden="1" customWidth="1"/>
    <col min="21" max="21" width="11.88671875" style="80" bestFit="1" customWidth="1"/>
    <col min="22" max="22" width="8.44140625" style="80" hidden="1" customWidth="1"/>
    <col min="23" max="23" width="11.88671875" style="80" customWidth="1"/>
    <col min="24" max="24" width="7.44140625" style="80" hidden="1" customWidth="1"/>
    <col min="25" max="25" width="8.44140625" style="80" bestFit="1" customWidth="1"/>
    <col min="26" max="26" width="7.88671875" style="80" hidden="1" customWidth="1"/>
    <col min="27" max="28" width="9.109375" style="80" customWidth="1"/>
    <col min="29" max="16384" width="9.109375" style="80"/>
  </cols>
  <sheetData>
    <row r="2" spans="1:26" ht="18" x14ac:dyDescent="0.35">
      <c r="A2" s="451" t="s">
        <v>267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</row>
    <row r="4" spans="1:26" s="107" customFormat="1" ht="86.25" customHeight="1" x14ac:dyDescent="0.25">
      <c r="A4" s="106" t="s">
        <v>830</v>
      </c>
      <c r="B4" s="106" t="s">
        <v>1</v>
      </c>
      <c r="C4" s="106" t="s">
        <v>2</v>
      </c>
      <c r="D4" s="106" t="s">
        <v>3</v>
      </c>
      <c r="E4" s="106" t="s">
        <v>4</v>
      </c>
      <c r="F4" s="106" t="s">
        <v>5</v>
      </c>
      <c r="G4" s="106" t="s">
        <v>6</v>
      </c>
      <c r="H4" s="106" t="s">
        <v>7</v>
      </c>
      <c r="I4" s="106" t="s">
        <v>8</v>
      </c>
      <c r="J4" s="106" t="s">
        <v>9</v>
      </c>
      <c r="K4" s="106" t="s">
        <v>10</v>
      </c>
      <c r="L4" s="106" t="s">
        <v>11</v>
      </c>
      <c r="M4" s="82" t="s">
        <v>492</v>
      </c>
      <c r="N4" s="106" t="s">
        <v>299</v>
      </c>
      <c r="O4" s="106" t="s">
        <v>300</v>
      </c>
      <c r="P4" s="106" t="s">
        <v>12</v>
      </c>
      <c r="Q4" s="106" t="s">
        <v>301</v>
      </c>
      <c r="R4" s="106" t="s">
        <v>302</v>
      </c>
      <c r="S4" s="106" t="s">
        <v>303</v>
      </c>
      <c r="T4" s="106" t="s">
        <v>304</v>
      </c>
      <c r="U4" s="106" t="s">
        <v>305</v>
      </c>
      <c r="V4" s="170" t="s">
        <v>13</v>
      </c>
      <c r="W4" s="106" t="s">
        <v>14</v>
      </c>
      <c r="X4" s="174" t="s">
        <v>15</v>
      </c>
      <c r="Y4" s="106" t="s">
        <v>223</v>
      </c>
      <c r="Z4" s="106" t="s">
        <v>16</v>
      </c>
    </row>
    <row r="5" spans="1:26" s="87" customFormat="1" x14ac:dyDescent="0.25">
      <c r="A5" s="85"/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178"/>
      <c r="W5" s="88"/>
      <c r="X5" s="182"/>
      <c r="Y5" s="85"/>
      <c r="Z5" s="85"/>
    </row>
    <row r="6" spans="1:26" s="120" customFormat="1" ht="15.6" x14ac:dyDescent="0.25">
      <c r="A6" s="28"/>
      <c r="B6" s="28"/>
      <c r="C6" s="28" t="s">
        <v>366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79"/>
      <c r="W6" s="101"/>
      <c r="X6" s="183"/>
      <c r="Y6" s="101"/>
      <c r="Z6" s="28"/>
    </row>
    <row r="7" spans="1:26" s="87" customFormat="1" x14ac:dyDescent="0.25">
      <c r="A7" s="84">
        <f>A6+1</f>
        <v>1</v>
      </c>
      <c r="B7" s="84">
        <v>1626</v>
      </c>
      <c r="C7" s="84" t="s">
        <v>509</v>
      </c>
      <c r="D7" s="88">
        <v>874000</v>
      </c>
      <c r="E7" s="88">
        <v>874000</v>
      </c>
      <c r="F7" s="88">
        <f t="shared" ref="F7:F13" si="0">D7-E7</f>
        <v>0</v>
      </c>
      <c r="G7" s="88">
        <v>874000</v>
      </c>
      <c r="H7" s="88">
        <v>808407.12</v>
      </c>
      <c r="I7" s="88"/>
      <c r="J7" s="88"/>
      <c r="K7" s="88">
        <f>I7+J7</f>
        <v>0</v>
      </c>
      <c r="L7" s="88">
        <f>H7+K7</f>
        <v>808407.12</v>
      </c>
      <c r="M7" s="88">
        <f>P7+S7</f>
        <v>65592.88</v>
      </c>
      <c r="N7" s="88"/>
      <c r="O7" s="88">
        <f>D7-L7-M7-N7</f>
        <v>0</v>
      </c>
      <c r="P7" s="88">
        <f>G7-L7</f>
        <v>65592.88</v>
      </c>
      <c r="Q7" s="88">
        <f>E7-G7</f>
        <v>0</v>
      </c>
      <c r="R7" s="88"/>
      <c r="S7" s="88">
        <f>SUM(Q7:R7)</f>
        <v>0</v>
      </c>
      <c r="T7" s="88">
        <f>P7-M7+S7</f>
        <v>0</v>
      </c>
      <c r="U7" s="88">
        <f>N7-T7</f>
        <v>0</v>
      </c>
      <c r="V7" s="180"/>
      <c r="W7" s="88">
        <f>U7-V7-X7-Y7</f>
        <v>0</v>
      </c>
      <c r="X7" s="184"/>
      <c r="Y7" s="84"/>
      <c r="Z7" s="84">
        <v>810000</v>
      </c>
    </row>
    <row r="8" spans="1:26" s="87" customFormat="1" x14ac:dyDescent="0.25">
      <c r="A8" s="84">
        <f t="shared" ref="A8:A24" si="1">A7+1</f>
        <v>2</v>
      </c>
      <c r="B8" s="84">
        <v>1679</v>
      </c>
      <c r="C8" s="84" t="s">
        <v>138</v>
      </c>
      <c r="D8" s="88">
        <v>130000</v>
      </c>
      <c r="E8" s="88">
        <v>130000</v>
      </c>
      <c r="F8" s="88">
        <f t="shared" si="0"/>
        <v>0</v>
      </c>
      <c r="G8" s="88">
        <v>130000</v>
      </c>
      <c r="H8" s="88">
        <v>98078.58</v>
      </c>
      <c r="I8" s="88"/>
      <c r="J8" s="88"/>
      <c r="K8" s="88">
        <f t="shared" ref="K8:K18" si="2">I8+J8</f>
        <v>0</v>
      </c>
      <c r="L8" s="88">
        <f t="shared" ref="L8:L18" si="3">H8+K8</f>
        <v>98078.58</v>
      </c>
      <c r="M8" s="88">
        <f t="shared" ref="M8:M18" si="4">P8+S8</f>
        <v>31921.42</v>
      </c>
      <c r="N8" s="88"/>
      <c r="O8" s="88">
        <f t="shared" ref="O8:O18" si="5">D8-L8-M8-N8</f>
        <v>0</v>
      </c>
      <c r="P8" s="88">
        <f t="shared" ref="P8:P18" si="6">G8-L8</f>
        <v>31921.42</v>
      </c>
      <c r="Q8" s="88">
        <f t="shared" ref="Q8:Q24" si="7">E8-G8</f>
        <v>0</v>
      </c>
      <c r="R8" s="88"/>
      <c r="S8" s="88">
        <f t="shared" ref="S8:S18" si="8">SUM(Q8:R8)</f>
        <v>0</v>
      </c>
      <c r="T8" s="88">
        <f t="shared" ref="T8:T18" si="9">P8-M8+S8</f>
        <v>0</v>
      </c>
      <c r="U8" s="88">
        <f t="shared" ref="U8:U18" si="10">N8-T8</f>
        <v>0</v>
      </c>
      <c r="V8" s="180"/>
      <c r="W8" s="88">
        <f t="shared" ref="W8:W24" si="11">U8-V8-X8-Y8</f>
        <v>0</v>
      </c>
      <c r="X8" s="184"/>
      <c r="Y8" s="84"/>
      <c r="Z8" s="84">
        <v>810000</v>
      </c>
    </row>
    <row r="9" spans="1:26" s="87" customFormat="1" x14ac:dyDescent="0.25">
      <c r="A9" s="84">
        <f t="shared" si="1"/>
        <v>3</v>
      </c>
      <c r="B9" s="84">
        <v>1710</v>
      </c>
      <c r="C9" s="84" t="s">
        <v>140</v>
      </c>
      <c r="D9" s="88">
        <v>1700000</v>
      </c>
      <c r="E9" s="88">
        <v>1700000</v>
      </c>
      <c r="F9" s="88">
        <f t="shared" si="0"/>
        <v>0</v>
      </c>
      <c r="G9" s="88">
        <f>1210000+141621</f>
        <v>1351621</v>
      </c>
      <c r="H9" s="88">
        <v>567792.73</v>
      </c>
      <c r="I9" s="88">
        <v>6899.49</v>
      </c>
      <c r="J9" s="88"/>
      <c r="K9" s="88">
        <f t="shared" si="2"/>
        <v>6899.49</v>
      </c>
      <c r="L9" s="88">
        <f t="shared" si="3"/>
        <v>574692.22</v>
      </c>
      <c r="M9" s="88">
        <f t="shared" si="4"/>
        <v>776928.78</v>
      </c>
      <c r="N9" s="88">
        <f>110000+380000-141621</f>
        <v>348379</v>
      </c>
      <c r="O9" s="88">
        <f t="shared" si="5"/>
        <v>0</v>
      </c>
      <c r="P9" s="88">
        <f t="shared" si="6"/>
        <v>776928.78</v>
      </c>
      <c r="Q9" s="88"/>
      <c r="R9" s="88"/>
      <c r="S9" s="88">
        <f t="shared" si="8"/>
        <v>0</v>
      </c>
      <c r="T9" s="88">
        <f t="shared" si="9"/>
        <v>0</v>
      </c>
      <c r="U9" s="88">
        <f t="shared" si="10"/>
        <v>348379</v>
      </c>
      <c r="V9" s="180"/>
      <c r="W9" s="88">
        <f t="shared" si="11"/>
        <v>0</v>
      </c>
      <c r="X9" s="184"/>
      <c r="Y9" s="121">
        <f>490000-141621</f>
        <v>348379</v>
      </c>
      <c r="Z9" s="84">
        <v>810000</v>
      </c>
    </row>
    <row r="10" spans="1:26" s="87" customFormat="1" x14ac:dyDescent="0.25">
      <c r="A10" s="84">
        <f t="shared" si="1"/>
        <v>4</v>
      </c>
      <c r="B10" s="84">
        <v>1737</v>
      </c>
      <c r="C10" s="84" t="s">
        <v>142</v>
      </c>
      <c r="D10" s="88">
        <v>91000</v>
      </c>
      <c r="E10" s="88">
        <v>91000</v>
      </c>
      <c r="F10" s="88">
        <f t="shared" si="0"/>
        <v>0</v>
      </c>
      <c r="G10" s="88">
        <v>91000</v>
      </c>
      <c r="H10" s="88">
        <v>66484</v>
      </c>
      <c r="I10" s="88">
        <v>17342</v>
      </c>
      <c r="J10" s="88"/>
      <c r="K10" s="88">
        <f t="shared" si="2"/>
        <v>17342</v>
      </c>
      <c r="L10" s="88">
        <f t="shared" si="3"/>
        <v>83826</v>
      </c>
      <c r="M10" s="88">
        <f t="shared" si="4"/>
        <v>7174</v>
      </c>
      <c r="N10" s="88"/>
      <c r="O10" s="88">
        <f t="shared" si="5"/>
        <v>0</v>
      </c>
      <c r="P10" s="88">
        <f t="shared" si="6"/>
        <v>7174</v>
      </c>
      <c r="Q10" s="88">
        <f t="shared" si="7"/>
        <v>0</v>
      </c>
      <c r="R10" s="88"/>
      <c r="S10" s="88">
        <f t="shared" si="8"/>
        <v>0</v>
      </c>
      <c r="T10" s="88">
        <f t="shared" si="9"/>
        <v>0</v>
      </c>
      <c r="U10" s="88">
        <f t="shared" si="10"/>
        <v>0</v>
      </c>
      <c r="V10" s="180"/>
      <c r="W10" s="88">
        <f t="shared" si="11"/>
        <v>0</v>
      </c>
      <c r="X10" s="184"/>
      <c r="Y10" s="84"/>
      <c r="Z10" s="84">
        <v>810000</v>
      </c>
    </row>
    <row r="11" spans="1:26" s="87" customFormat="1" x14ac:dyDescent="0.25">
      <c r="A11" s="84">
        <f t="shared" si="1"/>
        <v>5</v>
      </c>
      <c r="B11" s="84">
        <v>1740</v>
      </c>
      <c r="C11" s="84" t="s">
        <v>143</v>
      </c>
      <c r="D11" s="88">
        <v>280000</v>
      </c>
      <c r="E11" s="88">
        <v>280000</v>
      </c>
      <c r="F11" s="88">
        <f t="shared" si="0"/>
        <v>0</v>
      </c>
      <c r="G11" s="88">
        <v>150000</v>
      </c>
      <c r="H11" s="88">
        <v>100000</v>
      </c>
      <c r="I11" s="88"/>
      <c r="J11" s="88"/>
      <c r="K11" s="88">
        <f t="shared" si="2"/>
        <v>0</v>
      </c>
      <c r="L11" s="88">
        <f t="shared" si="3"/>
        <v>100000</v>
      </c>
      <c r="M11" s="88">
        <f t="shared" si="4"/>
        <v>180000</v>
      </c>
      <c r="N11" s="88"/>
      <c r="O11" s="88">
        <f t="shared" si="5"/>
        <v>0</v>
      </c>
      <c r="P11" s="88">
        <f t="shared" si="6"/>
        <v>50000</v>
      </c>
      <c r="Q11" s="88"/>
      <c r="R11" s="199">
        <v>130000</v>
      </c>
      <c r="S11" s="88">
        <f t="shared" si="8"/>
        <v>130000</v>
      </c>
      <c r="T11" s="88">
        <f t="shared" si="9"/>
        <v>0</v>
      </c>
      <c r="U11" s="88">
        <f t="shared" si="10"/>
        <v>0</v>
      </c>
      <c r="V11" s="180"/>
      <c r="W11" s="88">
        <f t="shared" si="11"/>
        <v>0</v>
      </c>
      <c r="X11" s="184"/>
      <c r="Y11" s="84"/>
      <c r="Z11" s="84">
        <v>810000</v>
      </c>
    </row>
    <row r="12" spans="1:26" s="87" customFormat="1" x14ac:dyDescent="0.25">
      <c r="A12" s="84">
        <f t="shared" si="1"/>
        <v>6</v>
      </c>
      <c r="B12" s="84">
        <v>1741</v>
      </c>
      <c r="C12" s="84" t="s">
        <v>510</v>
      </c>
      <c r="D12" s="88">
        <v>300000</v>
      </c>
      <c r="E12" s="88">
        <v>300000</v>
      </c>
      <c r="F12" s="88">
        <f>D12-E12</f>
        <v>0</v>
      </c>
      <c r="G12" s="88">
        <v>300000</v>
      </c>
      <c r="H12" s="88">
        <v>272871.61</v>
      </c>
      <c r="I12" s="88">
        <v>5635.57</v>
      </c>
      <c r="J12" s="88">
        <v>12573.08</v>
      </c>
      <c r="K12" s="88">
        <f t="shared" si="2"/>
        <v>18208.650000000001</v>
      </c>
      <c r="L12" s="88">
        <f t="shared" si="3"/>
        <v>291080.26</v>
      </c>
      <c r="M12" s="88">
        <f t="shared" si="4"/>
        <v>8919.7399999999907</v>
      </c>
      <c r="N12" s="88"/>
      <c r="O12" s="88">
        <f t="shared" si="5"/>
        <v>0</v>
      </c>
      <c r="P12" s="88">
        <f t="shared" si="6"/>
        <v>8919.7399999999907</v>
      </c>
      <c r="Q12" s="88">
        <f t="shared" si="7"/>
        <v>0</v>
      </c>
      <c r="R12" s="88"/>
      <c r="S12" s="88">
        <f t="shared" si="8"/>
        <v>0</v>
      </c>
      <c r="T12" s="88">
        <f t="shared" si="9"/>
        <v>0</v>
      </c>
      <c r="U12" s="88">
        <f t="shared" si="10"/>
        <v>0</v>
      </c>
      <c r="V12" s="180"/>
      <c r="W12" s="88">
        <f t="shared" si="11"/>
        <v>0</v>
      </c>
      <c r="X12" s="184"/>
      <c r="Y12" s="84"/>
      <c r="Z12" s="84">
        <v>810000</v>
      </c>
    </row>
    <row r="13" spans="1:26" s="87" customFormat="1" x14ac:dyDescent="0.25">
      <c r="A13" s="84">
        <f t="shared" si="1"/>
        <v>7</v>
      </c>
      <c r="B13" s="84">
        <v>1775</v>
      </c>
      <c r="C13" s="84" t="s">
        <v>145</v>
      </c>
      <c r="D13" s="88">
        <v>465000</v>
      </c>
      <c r="E13" s="88">
        <v>465000</v>
      </c>
      <c r="F13" s="88">
        <f t="shared" si="0"/>
        <v>0</v>
      </c>
      <c r="G13" s="88">
        <v>245000</v>
      </c>
      <c r="H13" s="88">
        <v>179754.55</v>
      </c>
      <c r="I13" s="88"/>
      <c r="J13" s="88">
        <v>61600.5</v>
      </c>
      <c r="K13" s="88">
        <f t="shared" si="2"/>
        <v>61600.5</v>
      </c>
      <c r="L13" s="88">
        <f t="shared" si="3"/>
        <v>241355.05</v>
      </c>
      <c r="M13" s="88">
        <f t="shared" si="4"/>
        <v>223644.95</v>
      </c>
      <c r="N13" s="88"/>
      <c r="O13" s="88">
        <f t="shared" si="5"/>
        <v>0</v>
      </c>
      <c r="P13" s="88">
        <f t="shared" si="6"/>
        <v>3644.9500000000116</v>
      </c>
      <c r="Q13" s="88"/>
      <c r="R13" s="199">
        <v>220000</v>
      </c>
      <c r="S13" s="88">
        <f t="shared" si="8"/>
        <v>220000</v>
      </c>
      <c r="T13" s="88">
        <f t="shared" si="9"/>
        <v>0</v>
      </c>
      <c r="U13" s="88">
        <f t="shared" si="10"/>
        <v>0</v>
      </c>
      <c r="V13" s="180"/>
      <c r="W13" s="88">
        <f t="shared" si="11"/>
        <v>0</v>
      </c>
      <c r="X13" s="184"/>
      <c r="Y13" s="84"/>
      <c r="Z13" s="84">
        <v>760000</v>
      </c>
    </row>
    <row r="14" spans="1:26" s="87" customFormat="1" x14ac:dyDescent="0.25">
      <c r="A14" s="84">
        <f t="shared" si="1"/>
        <v>8</v>
      </c>
      <c r="B14" s="93">
        <v>1776</v>
      </c>
      <c r="C14" s="93" t="s">
        <v>146</v>
      </c>
      <c r="D14" s="94">
        <v>240000</v>
      </c>
      <c r="E14" s="94">
        <v>240000</v>
      </c>
      <c r="F14" s="94">
        <f>D14-E14</f>
        <v>0</v>
      </c>
      <c r="G14" s="94">
        <v>90000</v>
      </c>
      <c r="H14" s="94">
        <v>62711.5</v>
      </c>
      <c r="I14" s="94">
        <v>22991</v>
      </c>
      <c r="J14" s="94"/>
      <c r="K14" s="88">
        <f t="shared" si="2"/>
        <v>22991</v>
      </c>
      <c r="L14" s="88">
        <f t="shared" si="3"/>
        <v>85702.5</v>
      </c>
      <c r="M14" s="88">
        <f t="shared" si="4"/>
        <v>154297.5</v>
      </c>
      <c r="N14" s="88"/>
      <c r="O14" s="88">
        <f t="shared" si="5"/>
        <v>0</v>
      </c>
      <c r="P14" s="88">
        <f t="shared" si="6"/>
        <v>4297.5</v>
      </c>
      <c r="Q14" s="88">
        <v>150000</v>
      </c>
      <c r="R14" s="88"/>
      <c r="S14" s="88">
        <f t="shared" si="8"/>
        <v>150000</v>
      </c>
      <c r="T14" s="88">
        <f t="shared" si="9"/>
        <v>0</v>
      </c>
      <c r="U14" s="88">
        <f t="shared" si="10"/>
        <v>0</v>
      </c>
      <c r="V14" s="180"/>
      <c r="W14" s="88">
        <f t="shared" si="11"/>
        <v>0</v>
      </c>
      <c r="X14" s="184"/>
      <c r="Y14" s="84"/>
      <c r="Z14" s="93">
        <v>810000</v>
      </c>
    </row>
    <row r="15" spans="1:26" s="87" customFormat="1" x14ac:dyDescent="0.25">
      <c r="A15" s="84">
        <f t="shared" si="1"/>
        <v>9</v>
      </c>
      <c r="B15" s="122">
        <v>1810</v>
      </c>
      <c r="C15" s="84" t="s">
        <v>454</v>
      </c>
      <c r="D15" s="88">
        <v>950000</v>
      </c>
      <c r="E15" s="88">
        <v>950000</v>
      </c>
      <c r="F15" s="88">
        <f t="shared" ref="F15:F20" si="12">D15-E15</f>
        <v>0</v>
      </c>
      <c r="G15" s="88">
        <v>950000</v>
      </c>
      <c r="H15" s="88">
        <v>194233</v>
      </c>
      <c r="I15" s="88">
        <v>293752.61</v>
      </c>
      <c r="J15" s="88"/>
      <c r="K15" s="88">
        <f t="shared" si="2"/>
        <v>293752.61</v>
      </c>
      <c r="L15" s="88">
        <f t="shared" si="3"/>
        <v>487985.61</v>
      </c>
      <c r="M15" s="88">
        <f t="shared" si="4"/>
        <v>462014.39</v>
      </c>
      <c r="N15" s="88"/>
      <c r="O15" s="88">
        <f t="shared" si="5"/>
        <v>0</v>
      </c>
      <c r="P15" s="88">
        <f t="shared" si="6"/>
        <v>462014.39</v>
      </c>
      <c r="Q15" s="88">
        <f t="shared" si="7"/>
        <v>0</v>
      </c>
      <c r="R15" s="88"/>
      <c r="S15" s="88">
        <f t="shared" si="8"/>
        <v>0</v>
      </c>
      <c r="T15" s="88">
        <f t="shared" si="9"/>
        <v>0</v>
      </c>
      <c r="U15" s="88">
        <f t="shared" si="10"/>
        <v>0</v>
      </c>
      <c r="V15" s="180"/>
      <c r="W15" s="88">
        <f t="shared" si="11"/>
        <v>0</v>
      </c>
      <c r="X15" s="184"/>
      <c r="Y15" s="84"/>
      <c r="Z15" s="84">
        <v>810000</v>
      </c>
    </row>
    <row r="16" spans="1:26" s="87" customFormat="1" x14ac:dyDescent="0.25">
      <c r="A16" s="84">
        <f t="shared" si="1"/>
        <v>10</v>
      </c>
      <c r="B16" s="122">
        <v>1817</v>
      </c>
      <c r="C16" s="84" t="s">
        <v>294</v>
      </c>
      <c r="D16" s="88">
        <v>640000</v>
      </c>
      <c r="E16" s="88">
        <v>640000</v>
      </c>
      <c r="F16" s="88">
        <f t="shared" si="12"/>
        <v>0</v>
      </c>
      <c r="G16" s="88">
        <v>640000</v>
      </c>
      <c r="H16" s="88">
        <v>421383.42</v>
      </c>
      <c r="I16" s="88">
        <v>113936</v>
      </c>
      <c r="J16" s="88"/>
      <c r="K16" s="88">
        <f t="shared" si="2"/>
        <v>113936</v>
      </c>
      <c r="L16" s="88">
        <f t="shared" si="3"/>
        <v>535319.41999999993</v>
      </c>
      <c r="M16" s="88">
        <f t="shared" si="4"/>
        <v>104680.58000000007</v>
      </c>
      <c r="N16" s="88"/>
      <c r="O16" s="88">
        <f t="shared" si="5"/>
        <v>0</v>
      </c>
      <c r="P16" s="88">
        <f t="shared" si="6"/>
        <v>104680.58000000007</v>
      </c>
      <c r="Q16" s="88">
        <f t="shared" si="7"/>
        <v>0</v>
      </c>
      <c r="R16" s="88"/>
      <c r="S16" s="88">
        <f t="shared" si="8"/>
        <v>0</v>
      </c>
      <c r="T16" s="88">
        <f t="shared" si="9"/>
        <v>0</v>
      </c>
      <c r="U16" s="88">
        <f t="shared" si="10"/>
        <v>0</v>
      </c>
      <c r="V16" s="180"/>
      <c r="W16" s="88">
        <f t="shared" si="11"/>
        <v>0</v>
      </c>
      <c r="X16" s="184"/>
      <c r="Y16" s="84"/>
      <c r="Z16" s="84">
        <v>810000</v>
      </c>
    </row>
    <row r="17" spans="1:26" s="87" customFormat="1" x14ac:dyDescent="0.25">
      <c r="A17" s="84">
        <f t="shared" si="1"/>
        <v>11</v>
      </c>
      <c r="B17" s="122">
        <v>1828</v>
      </c>
      <c r="C17" s="84" t="s">
        <v>511</v>
      </c>
      <c r="D17" s="88">
        <v>330000</v>
      </c>
      <c r="E17" s="88">
        <v>330000</v>
      </c>
      <c r="F17" s="88">
        <f>D17-E17</f>
        <v>0</v>
      </c>
      <c r="G17" s="88">
        <f>210000+120000</f>
        <v>330000</v>
      </c>
      <c r="H17" s="88">
        <v>120000</v>
      </c>
      <c r="I17" s="88">
        <v>72059.69</v>
      </c>
      <c r="J17" s="88"/>
      <c r="K17" s="88">
        <f t="shared" si="2"/>
        <v>72059.69</v>
      </c>
      <c r="L17" s="88">
        <f t="shared" si="3"/>
        <v>192059.69</v>
      </c>
      <c r="M17" s="88">
        <f t="shared" si="4"/>
        <v>137940.31</v>
      </c>
      <c r="N17" s="88"/>
      <c r="O17" s="88">
        <f t="shared" si="5"/>
        <v>0</v>
      </c>
      <c r="P17" s="88">
        <f t="shared" si="6"/>
        <v>137940.31</v>
      </c>
      <c r="Q17" s="88">
        <f t="shared" si="7"/>
        <v>0</v>
      </c>
      <c r="R17" s="88"/>
      <c r="S17" s="88">
        <f t="shared" si="8"/>
        <v>0</v>
      </c>
      <c r="T17" s="88">
        <f t="shared" si="9"/>
        <v>0</v>
      </c>
      <c r="U17" s="88">
        <f t="shared" si="10"/>
        <v>0</v>
      </c>
      <c r="V17" s="180"/>
      <c r="W17" s="88">
        <f t="shared" si="11"/>
        <v>0</v>
      </c>
      <c r="X17" s="184"/>
      <c r="Y17" s="84"/>
      <c r="Z17" s="84">
        <v>810000</v>
      </c>
    </row>
    <row r="18" spans="1:26" s="87" customFormat="1" x14ac:dyDescent="0.25">
      <c r="A18" s="84">
        <f t="shared" si="1"/>
        <v>12</v>
      </c>
      <c r="B18" s="93">
        <v>1860</v>
      </c>
      <c r="C18" s="84" t="s">
        <v>512</v>
      </c>
      <c r="D18" s="88">
        <v>80000</v>
      </c>
      <c r="E18" s="88">
        <v>80000</v>
      </c>
      <c r="F18" s="88">
        <f>D18-E18</f>
        <v>0</v>
      </c>
      <c r="G18" s="88">
        <v>80000</v>
      </c>
      <c r="H18" s="88">
        <v>4388.67</v>
      </c>
      <c r="I18" s="88">
        <v>48947.56</v>
      </c>
      <c r="J18" s="88"/>
      <c r="K18" s="88">
        <f t="shared" si="2"/>
        <v>48947.56</v>
      </c>
      <c r="L18" s="88">
        <f t="shared" si="3"/>
        <v>53336.229999999996</v>
      </c>
      <c r="M18" s="88">
        <f t="shared" si="4"/>
        <v>26663.770000000004</v>
      </c>
      <c r="N18" s="88"/>
      <c r="O18" s="88">
        <f t="shared" si="5"/>
        <v>0</v>
      </c>
      <c r="P18" s="88">
        <f t="shared" si="6"/>
        <v>26663.770000000004</v>
      </c>
      <c r="Q18" s="88">
        <f t="shared" si="7"/>
        <v>0</v>
      </c>
      <c r="R18" s="88"/>
      <c r="S18" s="88">
        <f t="shared" si="8"/>
        <v>0</v>
      </c>
      <c r="T18" s="88">
        <f t="shared" si="9"/>
        <v>0</v>
      </c>
      <c r="U18" s="88">
        <f t="shared" si="10"/>
        <v>0</v>
      </c>
      <c r="V18" s="180"/>
      <c r="W18" s="88">
        <f t="shared" si="11"/>
        <v>0</v>
      </c>
      <c r="X18" s="184"/>
      <c r="Y18" s="84"/>
      <c r="Z18" s="84">
        <v>810000</v>
      </c>
    </row>
    <row r="19" spans="1:26" s="87" customFormat="1" x14ac:dyDescent="0.25">
      <c r="A19" s="84">
        <f t="shared" si="1"/>
        <v>13</v>
      </c>
      <c r="B19" s="122">
        <v>1895</v>
      </c>
      <c r="C19" s="84" t="s">
        <v>513</v>
      </c>
      <c r="D19" s="88">
        <v>600000</v>
      </c>
      <c r="E19" s="88">
        <v>600000</v>
      </c>
      <c r="F19" s="88">
        <f>D19-E19</f>
        <v>0</v>
      </c>
      <c r="G19" s="88">
        <v>600000</v>
      </c>
      <c r="H19" s="88">
        <v>39319</v>
      </c>
      <c r="I19" s="88">
        <v>557336</v>
      </c>
      <c r="J19" s="88"/>
      <c r="K19" s="88">
        <f t="shared" ref="K19:K24" si="13">I19+J19</f>
        <v>557336</v>
      </c>
      <c r="L19" s="88">
        <f t="shared" ref="L19:L24" si="14">H19+K19</f>
        <v>596655</v>
      </c>
      <c r="M19" s="88">
        <f t="shared" ref="M19:M24" si="15">P19+S19</f>
        <v>3345</v>
      </c>
      <c r="N19" s="88"/>
      <c r="O19" s="88">
        <f t="shared" ref="O19:O24" si="16">D19-L19-M19-N19</f>
        <v>0</v>
      </c>
      <c r="P19" s="88">
        <f t="shared" ref="P19:P24" si="17">G19-L19</f>
        <v>3345</v>
      </c>
      <c r="Q19" s="88">
        <f t="shared" si="7"/>
        <v>0</v>
      </c>
      <c r="R19" s="88"/>
      <c r="S19" s="88">
        <f t="shared" ref="S19:S24" si="18">SUM(Q19:R19)</f>
        <v>0</v>
      </c>
      <c r="T19" s="88">
        <f t="shared" ref="T19:T24" si="19">P19-M19+S19</f>
        <v>0</v>
      </c>
      <c r="U19" s="88">
        <f t="shared" ref="U19:U24" si="20">N19-T19</f>
        <v>0</v>
      </c>
      <c r="V19" s="180"/>
      <c r="W19" s="88">
        <f t="shared" si="11"/>
        <v>0</v>
      </c>
      <c r="X19" s="184"/>
      <c r="Y19" s="84"/>
      <c r="Z19" s="84">
        <v>810000</v>
      </c>
    </row>
    <row r="20" spans="1:26" s="87" customFormat="1" x14ac:dyDescent="0.25">
      <c r="A20" s="84">
        <f t="shared" si="1"/>
        <v>14</v>
      </c>
      <c r="B20" s="122">
        <v>1930</v>
      </c>
      <c r="C20" s="84" t="s">
        <v>365</v>
      </c>
      <c r="D20" s="88">
        <v>320000</v>
      </c>
      <c r="E20" s="88">
        <v>320000</v>
      </c>
      <c r="F20" s="88">
        <f t="shared" si="12"/>
        <v>0</v>
      </c>
      <c r="G20" s="88">
        <v>0</v>
      </c>
      <c r="H20" s="88">
        <v>0</v>
      </c>
      <c r="I20" s="88"/>
      <c r="J20" s="88"/>
      <c r="K20" s="88">
        <f t="shared" si="13"/>
        <v>0</v>
      </c>
      <c r="L20" s="88">
        <f t="shared" si="14"/>
        <v>0</v>
      </c>
      <c r="M20" s="88">
        <f t="shared" si="15"/>
        <v>320000</v>
      </c>
      <c r="N20" s="88"/>
      <c r="O20" s="88">
        <f t="shared" si="16"/>
        <v>0</v>
      </c>
      <c r="P20" s="88">
        <f t="shared" si="17"/>
        <v>0</v>
      </c>
      <c r="Q20" s="88"/>
      <c r="R20" s="199">
        <v>320000</v>
      </c>
      <c r="S20" s="88">
        <f t="shared" si="18"/>
        <v>320000</v>
      </c>
      <c r="T20" s="88">
        <f t="shared" si="19"/>
        <v>0</v>
      </c>
      <c r="U20" s="88">
        <f t="shared" si="20"/>
        <v>0</v>
      </c>
      <c r="V20" s="180"/>
      <c r="W20" s="88">
        <f t="shared" si="11"/>
        <v>0</v>
      </c>
      <c r="X20" s="184"/>
      <c r="Y20" s="84"/>
      <c r="Z20" s="84">
        <v>810000</v>
      </c>
    </row>
    <row r="21" spans="1:26" s="95" customFormat="1" x14ac:dyDescent="0.25">
      <c r="A21" s="84">
        <f>A20+1</f>
        <v>15</v>
      </c>
      <c r="B21" s="93">
        <v>1975</v>
      </c>
      <c r="C21" s="93" t="s">
        <v>455</v>
      </c>
      <c r="D21" s="94">
        <v>975000</v>
      </c>
      <c r="E21" s="94"/>
      <c r="F21" s="94">
        <f>D21-E21</f>
        <v>975000</v>
      </c>
      <c r="G21" s="94"/>
      <c r="H21" s="94"/>
      <c r="I21" s="94"/>
      <c r="J21" s="94"/>
      <c r="K21" s="94">
        <f t="shared" si="13"/>
        <v>0</v>
      </c>
      <c r="L21" s="94">
        <f t="shared" si="14"/>
        <v>0</v>
      </c>
      <c r="M21" s="94">
        <f t="shared" si="15"/>
        <v>0</v>
      </c>
      <c r="N21" s="94">
        <v>485000</v>
      </c>
      <c r="O21" s="94">
        <f t="shared" si="16"/>
        <v>490000</v>
      </c>
      <c r="P21" s="94">
        <f t="shared" si="17"/>
        <v>0</v>
      </c>
      <c r="Q21" s="94">
        <f>E21-G21</f>
        <v>0</v>
      </c>
      <c r="R21" s="94"/>
      <c r="S21" s="94">
        <f t="shared" si="18"/>
        <v>0</v>
      </c>
      <c r="T21" s="94">
        <f t="shared" si="19"/>
        <v>0</v>
      </c>
      <c r="U21" s="94">
        <f t="shared" si="20"/>
        <v>485000</v>
      </c>
      <c r="V21" s="181"/>
      <c r="W21" s="88">
        <f t="shared" si="11"/>
        <v>485000</v>
      </c>
      <c r="X21" s="185"/>
      <c r="Y21" s="93"/>
      <c r="Z21" s="84">
        <v>810000</v>
      </c>
    </row>
    <row r="22" spans="1:26" s="95" customFormat="1" x14ac:dyDescent="0.25">
      <c r="A22" s="84">
        <f t="shared" si="1"/>
        <v>16</v>
      </c>
      <c r="B22" s="93">
        <v>1976</v>
      </c>
      <c r="C22" s="93" t="s">
        <v>456</v>
      </c>
      <c r="D22" s="94">
        <v>44100</v>
      </c>
      <c r="E22" s="94"/>
      <c r="F22" s="94">
        <f>D22-E22</f>
        <v>44100</v>
      </c>
      <c r="G22" s="94"/>
      <c r="H22" s="94"/>
      <c r="I22" s="94"/>
      <c r="J22" s="94"/>
      <c r="K22" s="94">
        <f t="shared" si="13"/>
        <v>0</v>
      </c>
      <c r="L22" s="94">
        <f t="shared" si="14"/>
        <v>0</v>
      </c>
      <c r="M22" s="94">
        <f t="shared" si="15"/>
        <v>0</v>
      </c>
      <c r="N22" s="94">
        <v>44100</v>
      </c>
      <c r="O22" s="94">
        <f t="shared" si="16"/>
        <v>0</v>
      </c>
      <c r="P22" s="94">
        <f t="shared" si="17"/>
        <v>0</v>
      </c>
      <c r="Q22" s="94">
        <f>E22-G22</f>
        <v>0</v>
      </c>
      <c r="R22" s="94"/>
      <c r="S22" s="94">
        <f t="shared" si="18"/>
        <v>0</v>
      </c>
      <c r="T22" s="94">
        <f t="shared" si="19"/>
        <v>0</v>
      </c>
      <c r="U22" s="94">
        <f t="shared" si="20"/>
        <v>44100</v>
      </c>
      <c r="V22" s="181"/>
      <c r="W22" s="88">
        <f t="shared" si="11"/>
        <v>0</v>
      </c>
      <c r="X22" s="185"/>
      <c r="Y22" s="88">
        <v>44100</v>
      </c>
      <c r="Z22" s="84">
        <v>810000</v>
      </c>
    </row>
    <row r="23" spans="1:26" s="95" customFormat="1" x14ac:dyDescent="0.25">
      <c r="A23" s="84">
        <f t="shared" si="1"/>
        <v>17</v>
      </c>
      <c r="B23" s="93">
        <v>1977</v>
      </c>
      <c r="C23" s="93" t="s">
        <v>457</v>
      </c>
      <c r="D23" s="94">
        <v>44100</v>
      </c>
      <c r="E23" s="94"/>
      <c r="F23" s="94">
        <f>D23-E23</f>
        <v>44100</v>
      </c>
      <c r="G23" s="94"/>
      <c r="H23" s="94"/>
      <c r="I23" s="94"/>
      <c r="J23" s="94"/>
      <c r="K23" s="94">
        <f t="shared" si="13"/>
        <v>0</v>
      </c>
      <c r="L23" s="94">
        <f t="shared" si="14"/>
        <v>0</v>
      </c>
      <c r="M23" s="94">
        <f t="shared" si="15"/>
        <v>0</v>
      </c>
      <c r="N23" s="94">
        <v>44100</v>
      </c>
      <c r="O23" s="94">
        <f t="shared" si="16"/>
        <v>0</v>
      </c>
      <c r="P23" s="94">
        <f t="shared" si="17"/>
        <v>0</v>
      </c>
      <c r="Q23" s="94">
        <f>E23-G23</f>
        <v>0</v>
      </c>
      <c r="R23" s="94"/>
      <c r="S23" s="94">
        <f t="shared" si="18"/>
        <v>0</v>
      </c>
      <c r="T23" s="94">
        <f t="shared" si="19"/>
        <v>0</v>
      </c>
      <c r="U23" s="94">
        <f t="shared" si="20"/>
        <v>44100</v>
      </c>
      <c r="V23" s="181"/>
      <c r="W23" s="88">
        <f t="shared" si="11"/>
        <v>0</v>
      </c>
      <c r="X23" s="185"/>
      <c r="Y23" s="88">
        <v>44100</v>
      </c>
      <c r="Z23" s="84">
        <v>810000</v>
      </c>
    </row>
    <row r="24" spans="1:26" s="95" customFormat="1" x14ac:dyDescent="0.25">
      <c r="A24" s="84">
        <f t="shared" si="1"/>
        <v>18</v>
      </c>
      <c r="B24" s="93">
        <v>1978</v>
      </c>
      <c r="C24" s="93" t="s">
        <v>458</v>
      </c>
      <c r="D24" s="94">
        <v>73500</v>
      </c>
      <c r="E24" s="94"/>
      <c r="F24" s="94">
        <f>D24-E24</f>
        <v>73500</v>
      </c>
      <c r="G24" s="94"/>
      <c r="H24" s="94"/>
      <c r="I24" s="94"/>
      <c r="J24" s="94"/>
      <c r="K24" s="94">
        <f t="shared" si="13"/>
        <v>0</v>
      </c>
      <c r="L24" s="94">
        <f t="shared" si="14"/>
        <v>0</v>
      </c>
      <c r="M24" s="94">
        <f t="shared" si="15"/>
        <v>0</v>
      </c>
      <c r="N24" s="94">
        <v>73500</v>
      </c>
      <c r="O24" s="94">
        <f t="shared" si="16"/>
        <v>0</v>
      </c>
      <c r="P24" s="94">
        <f t="shared" si="17"/>
        <v>0</v>
      </c>
      <c r="Q24" s="94">
        <f t="shared" si="7"/>
        <v>0</v>
      </c>
      <c r="R24" s="94"/>
      <c r="S24" s="94">
        <f t="shared" si="18"/>
        <v>0</v>
      </c>
      <c r="T24" s="94">
        <f t="shared" si="19"/>
        <v>0</v>
      </c>
      <c r="U24" s="94">
        <f t="shared" si="20"/>
        <v>73500</v>
      </c>
      <c r="V24" s="181"/>
      <c r="W24" s="88">
        <f t="shared" si="11"/>
        <v>0</v>
      </c>
      <c r="X24" s="185"/>
      <c r="Y24" s="88">
        <v>73500</v>
      </c>
      <c r="Z24" s="84">
        <v>810000</v>
      </c>
    </row>
    <row r="25" spans="1:26" s="87" customFormat="1" ht="15.6" x14ac:dyDescent="0.25">
      <c r="A25" s="90">
        <f>A24</f>
        <v>18</v>
      </c>
      <c r="B25" s="28" t="s">
        <v>102</v>
      </c>
      <c r="C25" s="28" t="s">
        <v>367</v>
      </c>
      <c r="D25" s="101">
        <f>SUM(D7:D24)</f>
        <v>8136700</v>
      </c>
      <c r="E25" s="101">
        <f t="shared" ref="E25:Y25" si="21">SUM(E7:E24)</f>
        <v>7000000</v>
      </c>
      <c r="F25" s="101">
        <f t="shared" si="21"/>
        <v>1136700</v>
      </c>
      <c r="G25" s="101">
        <f t="shared" si="21"/>
        <v>5831621</v>
      </c>
      <c r="H25" s="101">
        <f t="shared" si="21"/>
        <v>2935424.1799999997</v>
      </c>
      <c r="I25" s="101">
        <f t="shared" si="21"/>
        <v>1138899.92</v>
      </c>
      <c r="J25" s="101">
        <f t="shared" si="21"/>
        <v>74173.58</v>
      </c>
      <c r="K25" s="101">
        <f t="shared" si="21"/>
        <v>1213073.5</v>
      </c>
      <c r="L25" s="101">
        <f t="shared" si="21"/>
        <v>4148497.6799999997</v>
      </c>
      <c r="M25" s="101">
        <f t="shared" si="21"/>
        <v>2503123.3200000003</v>
      </c>
      <c r="N25" s="101">
        <f t="shared" si="21"/>
        <v>995079</v>
      </c>
      <c r="O25" s="101">
        <f t="shared" si="21"/>
        <v>490000</v>
      </c>
      <c r="P25" s="101">
        <f t="shared" si="21"/>
        <v>1683123.3200000003</v>
      </c>
      <c r="Q25" s="101">
        <f t="shared" si="21"/>
        <v>150000</v>
      </c>
      <c r="R25" s="101">
        <f t="shared" si="21"/>
        <v>670000</v>
      </c>
      <c r="S25" s="101">
        <f t="shared" si="21"/>
        <v>820000</v>
      </c>
      <c r="T25" s="101">
        <f t="shared" si="21"/>
        <v>0</v>
      </c>
      <c r="U25" s="101">
        <f t="shared" si="21"/>
        <v>995079</v>
      </c>
      <c r="V25" s="101">
        <f t="shared" si="21"/>
        <v>0</v>
      </c>
      <c r="W25" s="101">
        <f t="shared" si="21"/>
        <v>485000</v>
      </c>
      <c r="X25" s="101">
        <f t="shared" si="21"/>
        <v>0</v>
      </c>
      <c r="Y25" s="101">
        <f t="shared" si="21"/>
        <v>510079</v>
      </c>
      <c r="Z25" s="28"/>
    </row>
    <row r="26" spans="1:26" s="87" customFormat="1" ht="15.6" x14ac:dyDescent="0.25">
      <c r="A26" s="84"/>
      <c r="B26" s="28"/>
      <c r="C26" s="28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79"/>
      <c r="W26" s="101"/>
      <c r="X26" s="183"/>
      <c r="Y26" s="101"/>
      <c r="Z26" s="28"/>
    </row>
    <row r="27" spans="1:26" s="87" customFormat="1" ht="15.6" x14ac:dyDescent="0.25">
      <c r="A27" s="84"/>
      <c r="B27" s="84"/>
      <c r="C27" s="28" t="s">
        <v>368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>
        <f>P27-M27+R27</f>
        <v>0</v>
      </c>
      <c r="U27" s="88">
        <f>N27-T27</f>
        <v>0</v>
      </c>
      <c r="V27" s="180"/>
      <c r="W27" s="88"/>
      <c r="X27" s="184"/>
      <c r="Y27" s="84"/>
      <c r="Z27" s="84"/>
    </row>
    <row r="28" spans="1:26" s="87" customFormat="1" x14ac:dyDescent="0.25">
      <c r="A28" s="84">
        <f t="shared" ref="A28:A42" si="22">A27+1</f>
        <v>1</v>
      </c>
      <c r="B28" s="84">
        <v>1486</v>
      </c>
      <c r="C28" s="84" t="s">
        <v>120</v>
      </c>
      <c r="D28" s="88">
        <v>3400000</v>
      </c>
      <c r="E28" s="88">
        <v>3200000</v>
      </c>
      <c r="F28" s="88">
        <f t="shared" ref="F28:F42" si="23">D28-E28</f>
        <v>200000</v>
      </c>
      <c r="G28" s="88">
        <v>2500000</v>
      </c>
      <c r="H28" s="88">
        <v>1692424.8</v>
      </c>
      <c r="I28" s="88">
        <v>621965.21</v>
      </c>
      <c r="J28" s="88"/>
      <c r="K28" s="88">
        <f>I28+J28</f>
        <v>621965.21</v>
      </c>
      <c r="L28" s="88">
        <f t="shared" ref="L28:L42" si="24">H28+K28</f>
        <v>2314390.0099999998</v>
      </c>
      <c r="M28" s="88">
        <f>P28+S28</f>
        <v>385609.99000000022</v>
      </c>
      <c r="N28" s="88">
        <f>900000-200000</f>
        <v>700000</v>
      </c>
      <c r="O28" s="88">
        <f t="shared" ref="O28:O42" si="25">D28-L28-M28-N28</f>
        <v>0</v>
      </c>
      <c r="P28" s="88">
        <f>G28-L28</f>
        <v>185609.99000000022</v>
      </c>
      <c r="Q28" s="149">
        <v>200000</v>
      </c>
      <c r="R28" s="88"/>
      <c r="S28" s="88">
        <f t="shared" ref="S28:S42" si="26">SUM(Q28:R28)</f>
        <v>200000</v>
      </c>
      <c r="T28" s="88">
        <f t="shared" ref="T28:T38" si="27">P28-M28+S28</f>
        <v>0</v>
      </c>
      <c r="U28" s="88">
        <f>N28-T28</f>
        <v>700000</v>
      </c>
      <c r="V28" s="180"/>
      <c r="W28" s="88">
        <f>U28-V28-X28-Y28</f>
        <v>700000</v>
      </c>
      <c r="X28" s="184"/>
      <c r="Y28" s="84"/>
      <c r="Z28" s="84">
        <v>930000</v>
      </c>
    </row>
    <row r="29" spans="1:26" s="87" customFormat="1" ht="16.5" customHeight="1" x14ac:dyDescent="0.25">
      <c r="A29" s="84">
        <f t="shared" si="22"/>
        <v>2</v>
      </c>
      <c r="B29" s="84">
        <v>1582</v>
      </c>
      <c r="C29" s="84" t="s">
        <v>137</v>
      </c>
      <c r="D29" s="88">
        <v>1600000</v>
      </c>
      <c r="E29" s="88">
        <v>1600000</v>
      </c>
      <c r="F29" s="88">
        <f t="shared" si="23"/>
        <v>0</v>
      </c>
      <c r="G29" s="88">
        <v>763000</v>
      </c>
      <c r="H29" s="88">
        <v>599974.86</v>
      </c>
      <c r="I29" s="88">
        <v>19332.939999999999</v>
      </c>
      <c r="J29" s="88"/>
      <c r="K29" s="88">
        <f t="shared" ref="K29:K42" si="28">I29+J29</f>
        <v>19332.939999999999</v>
      </c>
      <c r="L29" s="88">
        <f t="shared" si="24"/>
        <v>619307.79999999993</v>
      </c>
      <c r="M29" s="88">
        <f t="shared" ref="M29:M42" si="29">P29+S29</f>
        <v>143692.20000000007</v>
      </c>
      <c r="N29" s="94">
        <v>160000</v>
      </c>
      <c r="O29" s="88">
        <f t="shared" si="25"/>
        <v>677000</v>
      </c>
      <c r="P29" s="88">
        <f t="shared" ref="P29:P42" si="30">G29-L29</f>
        <v>143692.20000000007</v>
      </c>
      <c r="Q29" s="88"/>
      <c r="R29" s="88"/>
      <c r="S29" s="88">
        <f t="shared" si="26"/>
        <v>0</v>
      </c>
      <c r="T29" s="88">
        <f t="shared" si="27"/>
        <v>0</v>
      </c>
      <c r="U29" s="88">
        <f t="shared" ref="U29:U42" si="31">N29-T29</f>
        <v>160000</v>
      </c>
      <c r="V29" s="180"/>
      <c r="W29" s="88">
        <f t="shared" ref="W29:W42" si="32">U29-V29-X29-Y29</f>
        <v>160000</v>
      </c>
      <c r="X29" s="184"/>
      <c r="Y29" s="84"/>
      <c r="Z29" s="84">
        <v>829000</v>
      </c>
    </row>
    <row r="30" spans="1:26" s="87" customFormat="1" ht="18.75" customHeight="1" x14ac:dyDescent="0.25">
      <c r="A30" s="84">
        <f t="shared" si="22"/>
        <v>3</v>
      </c>
      <c r="B30" s="84">
        <v>1678</v>
      </c>
      <c r="C30" s="84" t="s">
        <v>127</v>
      </c>
      <c r="D30" s="88">
        <f>800000+300000</f>
        <v>1100000</v>
      </c>
      <c r="E30" s="88">
        <v>800000</v>
      </c>
      <c r="F30" s="88">
        <f t="shared" si="23"/>
        <v>300000</v>
      </c>
      <c r="G30" s="88">
        <v>700000</v>
      </c>
      <c r="H30" s="88">
        <v>443533.91</v>
      </c>
      <c r="I30" s="88">
        <v>148836.81</v>
      </c>
      <c r="J30" s="88"/>
      <c r="K30" s="88">
        <f t="shared" si="28"/>
        <v>148836.81</v>
      </c>
      <c r="L30" s="88">
        <f t="shared" si="24"/>
        <v>592370.72</v>
      </c>
      <c r="M30" s="88">
        <f t="shared" si="29"/>
        <v>107629.28000000003</v>
      </c>
      <c r="N30" s="94">
        <v>400000</v>
      </c>
      <c r="O30" s="88">
        <f t="shared" si="25"/>
        <v>0</v>
      </c>
      <c r="P30" s="88">
        <f t="shared" si="30"/>
        <v>107629.28000000003</v>
      </c>
      <c r="Q30" s="88"/>
      <c r="R30" s="88"/>
      <c r="S30" s="88">
        <f t="shared" si="26"/>
        <v>0</v>
      </c>
      <c r="T30" s="88">
        <f t="shared" si="27"/>
        <v>0</v>
      </c>
      <c r="U30" s="88">
        <f t="shared" si="31"/>
        <v>400000</v>
      </c>
      <c r="V30" s="180"/>
      <c r="W30" s="88">
        <f t="shared" si="32"/>
        <v>400000</v>
      </c>
      <c r="X30" s="184"/>
      <c r="Y30" s="84"/>
      <c r="Z30" s="84">
        <v>829000</v>
      </c>
    </row>
    <row r="31" spans="1:26" s="87" customFormat="1" x14ac:dyDescent="0.25">
      <c r="A31" s="84">
        <f t="shared" si="22"/>
        <v>4</v>
      </c>
      <c r="B31" s="84">
        <v>1705</v>
      </c>
      <c r="C31" s="84" t="s">
        <v>139</v>
      </c>
      <c r="D31" s="88">
        <v>220000</v>
      </c>
      <c r="E31" s="88">
        <v>220000</v>
      </c>
      <c r="F31" s="88">
        <f t="shared" si="23"/>
        <v>0</v>
      </c>
      <c r="G31" s="88">
        <v>220000</v>
      </c>
      <c r="H31" s="88">
        <v>128035.28</v>
      </c>
      <c r="I31" s="88">
        <v>49333.83</v>
      </c>
      <c r="J31" s="88"/>
      <c r="K31" s="88">
        <f t="shared" si="28"/>
        <v>49333.83</v>
      </c>
      <c r="L31" s="88">
        <f t="shared" si="24"/>
        <v>177369.11</v>
      </c>
      <c r="M31" s="88">
        <f t="shared" si="29"/>
        <v>42630.890000000014</v>
      </c>
      <c r="N31" s="88"/>
      <c r="O31" s="88">
        <f t="shared" si="25"/>
        <v>0</v>
      </c>
      <c r="P31" s="88">
        <f t="shared" si="30"/>
        <v>42630.890000000014</v>
      </c>
      <c r="Q31" s="88"/>
      <c r="R31" s="88"/>
      <c r="S31" s="88">
        <f t="shared" si="26"/>
        <v>0</v>
      </c>
      <c r="T31" s="88">
        <f t="shared" si="27"/>
        <v>0</v>
      </c>
      <c r="U31" s="88">
        <f t="shared" si="31"/>
        <v>0</v>
      </c>
      <c r="V31" s="180"/>
      <c r="W31" s="88">
        <f t="shared" si="32"/>
        <v>0</v>
      </c>
      <c r="X31" s="184"/>
      <c r="Y31" s="84"/>
      <c r="Z31" s="84">
        <v>828000</v>
      </c>
    </row>
    <row r="32" spans="1:26" s="87" customFormat="1" x14ac:dyDescent="0.25">
      <c r="A32" s="84">
        <f t="shared" si="22"/>
        <v>5</v>
      </c>
      <c r="B32" s="84">
        <v>1734</v>
      </c>
      <c r="C32" s="84" t="s">
        <v>141</v>
      </c>
      <c r="D32" s="88">
        <v>315000</v>
      </c>
      <c r="E32" s="88">
        <v>315000</v>
      </c>
      <c r="F32" s="88">
        <f t="shared" si="23"/>
        <v>0</v>
      </c>
      <c r="G32" s="88">
        <v>315000</v>
      </c>
      <c r="H32" s="88">
        <v>195673.5</v>
      </c>
      <c r="I32" s="88">
        <v>2703.25</v>
      </c>
      <c r="J32" s="88"/>
      <c r="K32" s="88">
        <f t="shared" si="28"/>
        <v>2703.25</v>
      </c>
      <c r="L32" s="88">
        <f t="shared" si="24"/>
        <v>198376.75</v>
      </c>
      <c r="M32" s="88">
        <f t="shared" si="29"/>
        <v>116623.25</v>
      </c>
      <c r="N32" s="88"/>
      <c r="O32" s="88">
        <f t="shared" si="25"/>
        <v>0</v>
      </c>
      <c r="P32" s="88">
        <f t="shared" si="30"/>
        <v>116623.25</v>
      </c>
      <c r="Q32" s="88"/>
      <c r="R32" s="88"/>
      <c r="S32" s="88">
        <f t="shared" si="26"/>
        <v>0</v>
      </c>
      <c r="T32" s="88">
        <f t="shared" si="27"/>
        <v>0</v>
      </c>
      <c r="U32" s="88">
        <f t="shared" si="31"/>
        <v>0</v>
      </c>
      <c r="V32" s="180"/>
      <c r="W32" s="88">
        <f t="shared" si="32"/>
        <v>0</v>
      </c>
      <c r="X32" s="184"/>
      <c r="Y32" s="84"/>
      <c r="Z32" s="84">
        <v>829000</v>
      </c>
    </row>
    <row r="33" spans="1:26" s="87" customFormat="1" x14ac:dyDescent="0.25">
      <c r="A33" s="84">
        <f t="shared" si="22"/>
        <v>6</v>
      </c>
      <c r="B33" s="84">
        <v>1774</v>
      </c>
      <c r="C33" s="84" t="s">
        <v>144</v>
      </c>
      <c r="D33" s="88">
        <v>100000</v>
      </c>
      <c r="E33" s="88">
        <v>100000</v>
      </c>
      <c r="F33" s="88">
        <f t="shared" si="23"/>
        <v>0</v>
      </c>
      <c r="G33" s="88">
        <v>100000</v>
      </c>
      <c r="H33" s="88">
        <v>86140</v>
      </c>
      <c r="I33" s="88"/>
      <c r="J33" s="88"/>
      <c r="K33" s="88">
        <f t="shared" si="28"/>
        <v>0</v>
      </c>
      <c r="L33" s="88">
        <f t="shared" si="24"/>
        <v>86140</v>
      </c>
      <c r="M33" s="88">
        <f t="shared" si="29"/>
        <v>13860</v>
      </c>
      <c r="N33" s="88"/>
      <c r="O33" s="88">
        <f t="shared" si="25"/>
        <v>0</v>
      </c>
      <c r="P33" s="88">
        <f t="shared" si="30"/>
        <v>13860</v>
      </c>
      <c r="Q33" s="88"/>
      <c r="R33" s="88"/>
      <c r="S33" s="88">
        <f t="shared" si="26"/>
        <v>0</v>
      </c>
      <c r="T33" s="88">
        <f t="shared" si="27"/>
        <v>0</v>
      </c>
      <c r="U33" s="88">
        <f t="shared" si="31"/>
        <v>0</v>
      </c>
      <c r="V33" s="180"/>
      <c r="W33" s="88">
        <f t="shared" si="32"/>
        <v>0</v>
      </c>
      <c r="X33" s="184"/>
      <c r="Y33" s="84"/>
      <c r="Z33" s="84">
        <v>810000</v>
      </c>
    </row>
    <row r="34" spans="1:26" s="87" customFormat="1" x14ac:dyDescent="0.25">
      <c r="A34" s="84">
        <f t="shared" si="22"/>
        <v>7</v>
      </c>
      <c r="B34" s="93">
        <v>1777</v>
      </c>
      <c r="C34" s="84" t="s">
        <v>147</v>
      </c>
      <c r="D34" s="88">
        <v>270000</v>
      </c>
      <c r="E34" s="88">
        <v>270000</v>
      </c>
      <c r="F34" s="88">
        <f t="shared" si="23"/>
        <v>0</v>
      </c>
      <c r="G34" s="88">
        <v>160000</v>
      </c>
      <c r="H34" s="88">
        <v>119709</v>
      </c>
      <c r="I34" s="88"/>
      <c r="J34" s="88"/>
      <c r="K34" s="88">
        <f t="shared" si="28"/>
        <v>0</v>
      </c>
      <c r="L34" s="88">
        <f t="shared" si="24"/>
        <v>119709</v>
      </c>
      <c r="M34" s="88">
        <f t="shared" si="29"/>
        <v>150291</v>
      </c>
      <c r="N34" s="88">
        <f>110000-110000</f>
        <v>0</v>
      </c>
      <c r="O34" s="88">
        <f t="shared" si="25"/>
        <v>0</v>
      </c>
      <c r="P34" s="88">
        <f t="shared" si="30"/>
        <v>40291</v>
      </c>
      <c r="Q34" s="149">
        <v>110000</v>
      </c>
      <c r="R34" s="88"/>
      <c r="S34" s="88">
        <f t="shared" si="26"/>
        <v>110000</v>
      </c>
      <c r="T34" s="88">
        <f t="shared" si="27"/>
        <v>0</v>
      </c>
      <c r="U34" s="88">
        <f t="shared" si="31"/>
        <v>0</v>
      </c>
      <c r="V34" s="180"/>
      <c r="W34" s="88">
        <f t="shared" si="32"/>
        <v>0</v>
      </c>
      <c r="X34" s="184"/>
      <c r="Y34" s="84"/>
      <c r="Z34" s="84">
        <v>829000</v>
      </c>
    </row>
    <row r="35" spans="1:26" s="87" customFormat="1" x14ac:dyDescent="0.25">
      <c r="A35" s="84">
        <f t="shared" si="22"/>
        <v>8</v>
      </c>
      <c r="B35" s="93">
        <v>1822</v>
      </c>
      <c r="C35" s="84" t="s">
        <v>498</v>
      </c>
      <c r="D35" s="88">
        <v>565000</v>
      </c>
      <c r="E35" s="88">
        <v>565000</v>
      </c>
      <c r="F35" s="88">
        <f t="shared" si="23"/>
        <v>0</v>
      </c>
      <c r="G35" s="88">
        <v>100000</v>
      </c>
      <c r="H35" s="88">
        <v>0</v>
      </c>
      <c r="I35" s="88">
        <v>86084.15</v>
      </c>
      <c r="J35" s="88"/>
      <c r="K35" s="88">
        <f t="shared" si="28"/>
        <v>86084.15</v>
      </c>
      <c r="L35" s="88">
        <f t="shared" si="24"/>
        <v>86084.15</v>
      </c>
      <c r="M35" s="88">
        <f t="shared" si="29"/>
        <v>478915.85</v>
      </c>
      <c r="N35" s="88"/>
      <c r="O35" s="88">
        <f t="shared" si="25"/>
        <v>0</v>
      </c>
      <c r="P35" s="88">
        <f t="shared" si="30"/>
        <v>13915.850000000006</v>
      </c>
      <c r="Q35" s="88"/>
      <c r="R35" s="199">
        <v>465000</v>
      </c>
      <c r="S35" s="88">
        <f t="shared" si="26"/>
        <v>465000</v>
      </c>
      <c r="T35" s="88">
        <f t="shared" si="27"/>
        <v>0</v>
      </c>
      <c r="U35" s="88">
        <f t="shared" si="31"/>
        <v>0</v>
      </c>
      <c r="V35" s="180"/>
      <c r="W35" s="88">
        <f t="shared" si="32"/>
        <v>0</v>
      </c>
      <c r="X35" s="184"/>
      <c r="Y35" s="88"/>
      <c r="Z35" s="84">
        <v>829000</v>
      </c>
    </row>
    <row r="36" spans="1:26" s="87" customFormat="1" x14ac:dyDescent="0.25">
      <c r="A36" s="84">
        <f t="shared" si="22"/>
        <v>9</v>
      </c>
      <c r="B36" s="122">
        <v>1859</v>
      </c>
      <c r="C36" s="93" t="s">
        <v>369</v>
      </c>
      <c r="D36" s="94">
        <v>130000</v>
      </c>
      <c r="E36" s="94">
        <v>130000</v>
      </c>
      <c r="F36" s="94">
        <f t="shared" si="23"/>
        <v>0</v>
      </c>
      <c r="G36" s="94">
        <v>130000</v>
      </c>
      <c r="H36" s="94">
        <v>124605</v>
      </c>
      <c r="I36" s="94"/>
      <c r="J36" s="94"/>
      <c r="K36" s="88">
        <f t="shared" si="28"/>
        <v>0</v>
      </c>
      <c r="L36" s="88">
        <f t="shared" si="24"/>
        <v>124605</v>
      </c>
      <c r="M36" s="88">
        <f t="shared" si="29"/>
        <v>5395</v>
      </c>
      <c r="N36" s="88"/>
      <c r="O36" s="88">
        <f t="shared" si="25"/>
        <v>0</v>
      </c>
      <c r="P36" s="88">
        <f t="shared" si="30"/>
        <v>5395</v>
      </c>
      <c r="Q36" s="88"/>
      <c r="R36" s="88"/>
      <c r="S36" s="88">
        <f t="shared" si="26"/>
        <v>0</v>
      </c>
      <c r="T36" s="88">
        <f t="shared" si="27"/>
        <v>0</v>
      </c>
      <c r="U36" s="88">
        <f t="shared" si="31"/>
        <v>0</v>
      </c>
      <c r="V36" s="180"/>
      <c r="W36" s="88">
        <f t="shared" si="32"/>
        <v>0</v>
      </c>
      <c r="X36" s="184"/>
      <c r="Y36" s="84"/>
      <c r="Z36" s="93">
        <v>829000</v>
      </c>
    </row>
    <row r="37" spans="1:26" s="87" customFormat="1" x14ac:dyDescent="0.25">
      <c r="A37" s="84">
        <f t="shared" si="22"/>
        <v>10</v>
      </c>
      <c r="B37" s="122">
        <v>1898</v>
      </c>
      <c r="C37" s="84" t="s">
        <v>370</v>
      </c>
      <c r="D37" s="88">
        <v>174000</v>
      </c>
      <c r="E37" s="88">
        <v>174000</v>
      </c>
      <c r="F37" s="88">
        <f t="shared" si="23"/>
        <v>0</v>
      </c>
      <c r="G37" s="88">
        <v>174000</v>
      </c>
      <c r="H37" s="88">
        <v>0</v>
      </c>
      <c r="I37" s="88">
        <v>14115</v>
      </c>
      <c r="J37" s="88"/>
      <c r="K37" s="88">
        <f t="shared" si="28"/>
        <v>14115</v>
      </c>
      <c r="L37" s="88">
        <f t="shared" si="24"/>
        <v>14115</v>
      </c>
      <c r="M37" s="88">
        <f t="shared" si="29"/>
        <v>159885</v>
      </c>
      <c r="N37" s="88"/>
      <c r="O37" s="88">
        <f t="shared" si="25"/>
        <v>0</v>
      </c>
      <c r="P37" s="88">
        <f t="shared" si="30"/>
        <v>159885</v>
      </c>
      <c r="Q37" s="88"/>
      <c r="R37" s="88"/>
      <c r="S37" s="88">
        <f t="shared" si="26"/>
        <v>0</v>
      </c>
      <c r="T37" s="88">
        <f t="shared" si="27"/>
        <v>0</v>
      </c>
      <c r="U37" s="88">
        <f t="shared" si="31"/>
        <v>0</v>
      </c>
      <c r="V37" s="180"/>
      <c r="W37" s="88">
        <f t="shared" si="32"/>
        <v>0</v>
      </c>
      <c r="X37" s="184"/>
      <c r="Y37" s="84"/>
      <c r="Z37" s="84">
        <v>829000</v>
      </c>
    </row>
    <row r="38" spans="1:26" s="87" customFormat="1" x14ac:dyDescent="0.25">
      <c r="A38" s="84">
        <f t="shared" si="22"/>
        <v>11</v>
      </c>
      <c r="B38" s="122">
        <v>1901</v>
      </c>
      <c r="C38" s="84" t="s">
        <v>459</v>
      </c>
      <c r="D38" s="88">
        <v>130000</v>
      </c>
      <c r="E38" s="88">
        <v>130000</v>
      </c>
      <c r="F38" s="88">
        <f t="shared" si="23"/>
        <v>0</v>
      </c>
      <c r="G38" s="88">
        <v>130000</v>
      </c>
      <c r="H38" s="88">
        <v>0</v>
      </c>
      <c r="I38" s="88">
        <v>129998</v>
      </c>
      <c r="J38" s="88"/>
      <c r="K38" s="88">
        <f t="shared" si="28"/>
        <v>129998</v>
      </c>
      <c r="L38" s="88">
        <f t="shared" si="24"/>
        <v>129998</v>
      </c>
      <c r="M38" s="88">
        <f t="shared" si="29"/>
        <v>2</v>
      </c>
      <c r="N38" s="88"/>
      <c r="O38" s="88">
        <f t="shared" si="25"/>
        <v>0</v>
      </c>
      <c r="P38" s="88">
        <f t="shared" si="30"/>
        <v>2</v>
      </c>
      <c r="Q38" s="88"/>
      <c r="R38" s="88"/>
      <c r="S38" s="88">
        <f t="shared" si="26"/>
        <v>0</v>
      </c>
      <c r="T38" s="88">
        <f t="shared" si="27"/>
        <v>0</v>
      </c>
      <c r="U38" s="88">
        <f t="shared" si="31"/>
        <v>0</v>
      </c>
      <c r="V38" s="180"/>
      <c r="W38" s="88">
        <f t="shared" si="32"/>
        <v>0</v>
      </c>
      <c r="X38" s="184"/>
      <c r="Y38" s="84"/>
      <c r="Z38" s="84">
        <v>810000</v>
      </c>
    </row>
    <row r="39" spans="1:26" s="87" customFormat="1" x14ac:dyDescent="0.25">
      <c r="A39" s="84">
        <f t="shared" si="22"/>
        <v>12</v>
      </c>
      <c r="B39" s="122">
        <v>1902</v>
      </c>
      <c r="C39" s="84" t="s">
        <v>460</v>
      </c>
      <c r="D39" s="88">
        <f>255000</f>
        <v>255000</v>
      </c>
      <c r="E39" s="88">
        <v>255000</v>
      </c>
      <c r="F39" s="88">
        <f t="shared" si="23"/>
        <v>0</v>
      </c>
      <c r="G39" s="88"/>
      <c r="H39" s="88">
        <v>0</v>
      </c>
      <c r="I39" s="88"/>
      <c r="J39" s="88"/>
      <c r="K39" s="88">
        <f t="shared" si="28"/>
        <v>0</v>
      </c>
      <c r="L39" s="88">
        <f t="shared" si="24"/>
        <v>0</v>
      </c>
      <c r="M39" s="88">
        <f t="shared" si="29"/>
        <v>255000</v>
      </c>
      <c r="N39" s="94"/>
      <c r="O39" s="88">
        <f t="shared" si="25"/>
        <v>0</v>
      </c>
      <c r="P39" s="88">
        <f>G39-L39</f>
        <v>0</v>
      </c>
      <c r="Q39" s="88"/>
      <c r="R39" s="199">
        <v>255000</v>
      </c>
      <c r="S39" s="88">
        <f t="shared" si="26"/>
        <v>255000</v>
      </c>
      <c r="T39" s="88">
        <f>P39-M39+S39</f>
        <v>0</v>
      </c>
      <c r="U39" s="88">
        <f>N39-T39</f>
        <v>0</v>
      </c>
      <c r="V39" s="180"/>
      <c r="W39" s="88">
        <f t="shared" si="32"/>
        <v>0</v>
      </c>
      <c r="X39" s="184"/>
      <c r="Y39" s="84"/>
      <c r="Z39" s="84">
        <v>810000</v>
      </c>
    </row>
    <row r="40" spans="1:26" s="87" customFormat="1" x14ac:dyDescent="0.25">
      <c r="A40" s="84">
        <f t="shared" si="22"/>
        <v>13</v>
      </c>
      <c r="B40" s="122">
        <v>1890</v>
      </c>
      <c r="C40" s="84" t="s">
        <v>461</v>
      </c>
      <c r="D40" s="88">
        <v>600000</v>
      </c>
      <c r="E40" s="88">
        <v>600000</v>
      </c>
      <c r="F40" s="88">
        <f t="shared" si="23"/>
        <v>0</v>
      </c>
      <c r="G40" s="94">
        <v>600000</v>
      </c>
      <c r="H40" s="88">
        <v>171466</v>
      </c>
      <c r="I40" s="88">
        <v>385213</v>
      </c>
      <c r="J40" s="88"/>
      <c r="K40" s="88">
        <f t="shared" si="28"/>
        <v>385213</v>
      </c>
      <c r="L40" s="88">
        <f t="shared" si="24"/>
        <v>556679</v>
      </c>
      <c r="M40" s="88">
        <f t="shared" si="29"/>
        <v>43321</v>
      </c>
      <c r="N40" s="88"/>
      <c r="O40" s="88">
        <f t="shared" si="25"/>
        <v>0</v>
      </c>
      <c r="P40" s="88">
        <f t="shared" si="30"/>
        <v>43321</v>
      </c>
      <c r="Q40" s="88"/>
      <c r="R40" s="88"/>
      <c r="S40" s="88"/>
      <c r="T40" s="88"/>
      <c r="U40" s="88">
        <f t="shared" si="31"/>
        <v>0</v>
      </c>
      <c r="V40" s="180"/>
      <c r="W40" s="88">
        <f t="shared" si="32"/>
        <v>0</v>
      </c>
      <c r="X40" s="184"/>
      <c r="Y40" s="84"/>
      <c r="Z40" s="84">
        <v>829000</v>
      </c>
    </row>
    <row r="41" spans="1:26" s="87" customFormat="1" x14ac:dyDescent="0.25">
      <c r="A41" s="84">
        <f t="shared" si="22"/>
        <v>14</v>
      </c>
      <c r="B41" s="122">
        <v>1875</v>
      </c>
      <c r="C41" s="84" t="s">
        <v>462</v>
      </c>
      <c r="D41" s="94">
        <v>150000</v>
      </c>
      <c r="E41" s="88">
        <v>150000</v>
      </c>
      <c r="F41" s="88">
        <f t="shared" si="23"/>
        <v>0</v>
      </c>
      <c r="G41" s="94">
        <v>150000</v>
      </c>
      <c r="H41" s="88">
        <v>138528</v>
      </c>
      <c r="I41" s="88">
        <v>11003</v>
      </c>
      <c r="J41" s="88"/>
      <c r="K41" s="88">
        <f t="shared" si="28"/>
        <v>11003</v>
      </c>
      <c r="L41" s="88">
        <f t="shared" si="24"/>
        <v>149531</v>
      </c>
      <c r="M41" s="88">
        <f t="shared" si="29"/>
        <v>469</v>
      </c>
      <c r="N41" s="94"/>
      <c r="O41" s="88">
        <f t="shared" si="25"/>
        <v>0</v>
      </c>
      <c r="P41" s="88">
        <f t="shared" si="30"/>
        <v>469</v>
      </c>
      <c r="Q41" s="88"/>
      <c r="R41" s="88"/>
      <c r="S41" s="88"/>
      <c r="T41" s="88"/>
      <c r="U41" s="88">
        <f t="shared" si="31"/>
        <v>0</v>
      </c>
      <c r="V41" s="180"/>
      <c r="W41" s="88">
        <f t="shared" si="32"/>
        <v>0</v>
      </c>
      <c r="X41" s="184"/>
      <c r="Y41" s="84"/>
      <c r="Z41" s="84">
        <v>829000</v>
      </c>
    </row>
    <row r="42" spans="1:26" s="87" customFormat="1" x14ac:dyDescent="0.25">
      <c r="A42" s="84">
        <f t="shared" si="22"/>
        <v>15</v>
      </c>
      <c r="B42" s="122">
        <v>1938</v>
      </c>
      <c r="C42" s="84" t="s">
        <v>550</v>
      </c>
      <c r="D42" s="94">
        <v>260000</v>
      </c>
      <c r="E42" s="88">
        <v>260000</v>
      </c>
      <c r="F42" s="88">
        <f t="shared" si="23"/>
        <v>0</v>
      </c>
      <c r="G42" s="94"/>
      <c r="H42" s="88"/>
      <c r="I42" s="88"/>
      <c r="J42" s="88"/>
      <c r="K42" s="88">
        <f t="shared" si="28"/>
        <v>0</v>
      </c>
      <c r="L42" s="88">
        <f t="shared" si="24"/>
        <v>0</v>
      </c>
      <c r="M42" s="88">
        <f t="shared" si="29"/>
        <v>260000</v>
      </c>
      <c r="N42" s="94"/>
      <c r="O42" s="88">
        <f t="shared" si="25"/>
        <v>0</v>
      </c>
      <c r="P42" s="88">
        <f t="shared" si="30"/>
        <v>0</v>
      </c>
      <c r="Q42" s="88"/>
      <c r="R42" s="199">
        <v>260000</v>
      </c>
      <c r="S42" s="88">
        <f t="shared" si="26"/>
        <v>260000</v>
      </c>
      <c r="T42" s="88"/>
      <c r="U42" s="88">
        <f t="shared" si="31"/>
        <v>0</v>
      </c>
      <c r="V42" s="180"/>
      <c r="W42" s="88">
        <f t="shared" si="32"/>
        <v>0</v>
      </c>
      <c r="X42" s="184"/>
      <c r="Y42" s="84"/>
      <c r="Z42" s="84">
        <v>829000</v>
      </c>
    </row>
    <row r="43" spans="1:26" s="87" customFormat="1" ht="15.6" x14ac:dyDescent="0.25">
      <c r="A43" s="84">
        <f>A42</f>
        <v>15</v>
      </c>
      <c r="B43" s="28" t="s">
        <v>102</v>
      </c>
      <c r="C43" s="28" t="s">
        <v>371</v>
      </c>
      <c r="D43" s="101">
        <f t="shared" ref="D43:Y43" si="33">SUM(D28:D42)</f>
        <v>9269000</v>
      </c>
      <c r="E43" s="101">
        <f t="shared" si="33"/>
        <v>8769000</v>
      </c>
      <c r="F43" s="101">
        <f t="shared" si="33"/>
        <v>500000</v>
      </c>
      <c r="G43" s="101">
        <f t="shared" si="33"/>
        <v>6042000</v>
      </c>
      <c r="H43" s="101">
        <f t="shared" si="33"/>
        <v>3700090.35</v>
      </c>
      <c r="I43" s="101">
        <f t="shared" si="33"/>
        <v>1468585.19</v>
      </c>
      <c r="J43" s="101">
        <f t="shared" si="33"/>
        <v>0</v>
      </c>
      <c r="K43" s="101">
        <f t="shared" si="33"/>
        <v>1468585.19</v>
      </c>
      <c r="L43" s="101">
        <f t="shared" si="33"/>
        <v>5168675.5399999991</v>
      </c>
      <c r="M43" s="101">
        <f t="shared" si="33"/>
        <v>2163324.4600000004</v>
      </c>
      <c r="N43" s="101">
        <f t="shared" si="33"/>
        <v>1260000</v>
      </c>
      <c r="O43" s="101">
        <f t="shared" si="33"/>
        <v>677000</v>
      </c>
      <c r="P43" s="101">
        <f t="shared" si="33"/>
        <v>873324.46000000031</v>
      </c>
      <c r="Q43" s="101">
        <f t="shared" si="33"/>
        <v>310000</v>
      </c>
      <c r="R43" s="101">
        <f t="shared" si="33"/>
        <v>980000</v>
      </c>
      <c r="S43" s="101">
        <f t="shared" si="33"/>
        <v>1290000</v>
      </c>
      <c r="T43" s="101">
        <f t="shared" si="33"/>
        <v>0</v>
      </c>
      <c r="U43" s="101">
        <f t="shared" si="33"/>
        <v>1260000</v>
      </c>
      <c r="V43" s="179">
        <f t="shared" si="33"/>
        <v>0</v>
      </c>
      <c r="W43" s="101">
        <f t="shared" si="33"/>
        <v>1260000</v>
      </c>
      <c r="X43" s="183">
        <f t="shared" si="33"/>
        <v>0</v>
      </c>
      <c r="Y43" s="101">
        <f t="shared" si="33"/>
        <v>0</v>
      </c>
      <c r="Z43" s="28"/>
    </row>
    <row r="44" spans="1:26" s="87" customFormat="1" ht="15.6" x14ac:dyDescent="0.25">
      <c r="A44" s="84"/>
      <c r="B44" s="28"/>
      <c r="C44" s="28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79"/>
      <c r="W44" s="101"/>
      <c r="X44" s="183"/>
      <c r="Y44" s="101"/>
      <c r="Z44" s="28"/>
    </row>
    <row r="45" spans="1:26" s="87" customFormat="1" ht="15.6" x14ac:dyDescent="0.25">
      <c r="A45" s="101">
        <f>A43+A25</f>
        <v>33</v>
      </c>
      <c r="B45" s="122"/>
      <c r="C45" s="28" t="s">
        <v>372</v>
      </c>
      <c r="D45" s="101">
        <f>D43+D25</f>
        <v>17405700</v>
      </c>
      <c r="E45" s="101">
        <f t="shared" ref="E45:Y45" si="34">E43+E25</f>
        <v>15769000</v>
      </c>
      <c r="F45" s="101">
        <f t="shared" si="34"/>
        <v>1636700</v>
      </c>
      <c r="G45" s="101">
        <f t="shared" si="34"/>
        <v>11873621</v>
      </c>
      <c r="H45" s="101">
        <f t="shared" si="34"/>
        <v>6635514.5299999993</v>
      </c>
      <c r="I45" s="101">
        <f t="shared" si="34"/>
        <v>2607485.11</v>
      </c>
      <c r="J45" s="101">
        <f t="shared" si="34"/>
        <v>74173.58</v>
      </c>
      <c r="K45" s="101">
        <f t="shared" si="34"/>
        <v>2681658.69</v>
      </c>
      <c r="L45" s="101">
        <f t="shared" si="34"/>
        <v>9317173.2199999988</v>
      </c>
      <c r="M45" s="101">
        <f t="shared" si="34"/>
        <v>4666447.7800000012</v>
      </c>
      <c r="N45" s="101">
        <f t="shared" si="34"/>
        <v>2255079</v>
      </c>
      <c r="O45" s="101">
        <f t="shared" si="34"/>
        <v>1167000</v>
      </c>
      <c r="P45" s="101">
        <f t="shared" si="34"/>
        <v>2556447.7800000007</v>
      </c>
      <c r="Q45" s="101">
        <f t="shared" si="34"/>
        <v>460000</v>
      </c>
      <c r="R45" s="101">
        <f t="shared" si="34"/>
        <v>1650000</v>
      </c>
      <c r="S45" s="101">
        <f t="shared" si="34"/>
        <v>2110000</v>
      </c>
      <c r="T45" s="101">
        <f t="shared" si="34"/>
        <v>0</v>
      </c>
      <c r="U45" s="101">
        <f t="shared" si="34"/>
        <v>2255079</v>
      </c>
      <c r="V45" s="101">
        <f t="shared" si="34"/>
        <v>0</v>
      </c>
      <c r="W45" s="101">
        <f t="shared" si="34"/>
        <v>1745000</v>
      </c>
      <c r="X45" s="101">
        <f t="shared" si="34"/>
        <v>0</v>
      </c>
      <c r="Y45" s="101">
        <f t="shared" si="34"/>
        <v>510079</v>
      </c>
      <c r="Z45" s="122"/>
    </row>
    <row r="46" spans="1:26" s="87" customFormat="1" ht="15.6" x14ac:dyDescent="0.25">
      <c r="A46" s="101"/>
      <c r="B46" s="122"/>
      <c r="C46" s="28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79"/>
      <c r="W46" s="101"/>
      <c r="X46" s="183"/>
      <c r="Y46" s="101"/>
      <c r="Z46" s="113"/>
    </row>
    <row r="47" spans="1:26" s="87" customFormat="1" hidden="1" x14ac:dyDescent="0.25">
      <c r="A47" s="98"/>
      <c r="B47" s="80"/>
      <c r="C47" s="80"/>
      <c r="D47" s="105"/>
      <c r="E47" s="105"/>
      <c r="F47" s="105"/>
      <c r="G47" s="105"/>
      <c r="H47" s="105"/>
      <c r="I47" s="105"/>
      <c r="J47" s="105"/>
      <c r="K47" s="105"/>
      <c r="L47" s="165">
        <f>K45+H45</f>
        <v>9317173.2199999988</v>
      </c>
      <c r="M47" s="165">
        <f>G45-L45+S45</f>
        <v>4666447.7800000012</v>
      </c>
      <c r="N47" s="105"/>
      <c r="O47" s="105"/>
      <c r="P47" s="165">
        <f>G45-L45</f>
        <v>2556447.7800000012</v>
      </c>
      <c r="Q47" s="105"/>
      <c r="R47" s="105"/>
      <c r="S47" s="105"/>
      <c r="T47" s="105"/>
      <c r="U47" s="80"/>
      <c r="V47" s="80"/>
      <c r="W47" s="80"/>
      <c r="X47" s="80"/>
      <c r="Y47" s="80"/>
      <c r="Z47" s="80"/>
    </row>
    <row r="48" spans="1:26" s="87" customFormat="1" x14ac:dyDescent="0.25">
      <c r="A48" s="98"/>
      <c r="B48" s="80"/>
      <c r="C48" s="80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80"/>
      <c r="V48" s="80"/>
      <c r="W48" s="80"/>
      <c r="X48" s="80"/>
      <c r="Y48" s="80"/>
      <c r="Z48" s="80"/>
    </row>
    <row r="49" spans="1:26" s="87" customFormat="1" hidden="1" x14ac:dyDescent="0.25">
      <c r="A49" s="98"/>
      <c r="B49" s="80"/>
      <c r="C49" s="80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 t="s">
        <v>411</v>
      </c>
      <c r="P49" s="87" t="s">
        <v>463</v>
      </c>
      <c r="Q49" s="104">
        <f>'[1]חינוך תנוס '!$AY$44</f>
        <v>460000</v>
      </c>
      <c r="R49" s="105"/>
      <c r="S49" s="105"/>
      <c r="T49" s="105"/>
      <c r="U49" s="80"/>
      <c r="V49" s="80"/>
      <c r="W49" s="80"/>
      <c r="X49" s="80"/>
      <c r="Y49" s="80"/>
      <c r="Z49" s="80"/>
    </row>
    <row r="50" spans="1:26" s="87" customFormat="1" hidden="1" x14ac:dyDescent="0.25">
      <c r="A50" s="98"/>
      <c r="B50" s="80"/>
      <c r="C50" s="80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R50" s="104">
        <v>165000</v>
      </c>
      <c r="S50" s="87" t="s">
        <v>222</v>
      </c>
      <c r="T50" s="105"/>
      <c r="U50" s="80"/>
      <c r="V50" s="80"/>
      <c r="W50" s="80"/>
      <c r="X50" s="80"/>
      <c r="Y50" s="80"/>
      <c r="Z50" s="80"/>
    </row>
    <row r="51" spans="1:26" s="87" customFormat="1" hidden="1" x14ac:dyDescent="0.25">
      <c r="A51" s="98"/>
      <c r="B51" s="80"/>
      <c r="C51" s="80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206" t="s">
        <v>518</v>
      </c>
      <c r="Q51" s="201">
        <f>'[3]חינוך תנוס '!$AZ$43</f>
        <v>310000</v>
      </c>
      <c r="R51" s="104">
        <v>300000</v>
      </c>
      <c r="S51" s="87" t="s">
        <v>223</v>
      </c>
      <c r="T51" s="105"/>
      <c r="U51" s="80"/>
      <c r="V51" s="80"/>
      <c r="W51" s="80"/>
      <c r="X51" s="80"/>
      <c r="Y51" s="80"/>
      <c r="Z51" s="80"/>
    </row>
    <row r="52" spans="1:26" s="87" customFormat="1" hidden="1" x14ac:dyDescent="0.25">
      <c r="A52" s="98"/>
      <c r="B52" s="80"/>
      <c r="C52" s="80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206" t="s">
        <v>524</v>
      </c>
      <c r="Q52" s="201">
        <f>'[5]חינוך תנוס '!$BC$43</f>
        <v>150000</v>
      </c>
      <c r="S52" s="105"/>
      <c r="T52" s="105"/>
      <c r="U52" s="80"/>
      <c r="V52" s="80"/>
      <c r="W52" s="80"/>
      <c r="X52" s="80"/>
      <c r="Y52" s="80"/>
      <c r="Z52" s="80"/>
    </row>
    <row r="53" spans="1:26" s="87" customFormat="1" hidden="1" x14ac:dyDescent="0.25">
      <c r="A53" s="98"/>
      <c r="B53" s="80"/>
      <c r="C53" s="80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Q53" s="201">
        <f>SUM(Q51:Q52)</f>
        <v>460000</v>
      </c>
      <c r="S53" s="105"/>
      <c r="T53" s="105"/>
      <c r="U53" s="80"/>
      <c r="V53" s="80"/>
      <c r="W53" s="80"/>
      <c r="X53" s="80"/>
      <c r="Y53" s="80"/>
      <c r="Z53" s="80"/>
    </row>
    <row r="54" spans="1:26" s="87" customFormat="1" hidden="1" x14ac:dyDescent="0.25">
      <c r="A54" s="98"/>
      <c r="B54" s="80"/>
      <c r="C54" s="80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 t="s">
        <v>464</v>
      </c>
      <c r="P54" s="87" t="s">
        <v>366</v>
      </c>
      <c r="Q54" s="105"/>
      <c r="R54" s="105">
        <f>'[1]ריכוז תקציבים מעבר לתוכנית 31.8'!$AD$115</f>
        <v>670000</v>
      </c>
      <c r="S54" s="105"/>
      <c r="T54" s="105"/>
      <c r="U54" s="80"/>
      <c r="V54" s="80"/>
      <c r="W54" s="80"/>
      <c r="X54" s="80"/>
      <c r="Y54" s="80"/>
      <c r="Z54" s="80"/>
    </row>
    <row r="55" spans="1:26" hidden="1" x14ac:dyDescent="0.25">
      <c r="P55" s="87" t="s">
        <v>368</v>
      </c>
      <c r="R55" s="105">
        <f>'[1]ריכוז תקציבים מעבר לתוכנית 31.8'!$AD$126</f>
        <v>980000</v>
      </c>
    </row>
    <row r="56" spans="1:26" hidden="1" x14ac:dyDescent="0.25">
      <c r="P56" s="87"/>
      <c r="R56" s="104">
        <f>SUM(R54:R55)</f>
        <v>1650000</v>
      </c>
    </row>
    <row r="57" spans="1:26" hidden="1" x14ac:dyDescent="0.25"/>
    <row r="58" spans="1:26" hidden="1" x14ac:dyDescent="0.25">
      <c r="O58" s="105" t="s">
        <v>366</v>
      </c>
      <c r="P58" s="105" t="s">
        <v>464</v>
      </c>
      <c r="Q58" s="105" t="s">
        <v>516</v>
      </c>
      <c r="R58" s="200">
        <v>670000</v>
      </c>
    </row>
    <row r="59" spans="1:26" hidden="1" x14ac:dyDescent="0.25">
      <c r="O59" s="105" t="s">
        <v>523</v>
      </c>
      <c r="P59" s="105" t="s">
        <v>464</v>
      </c>
      <c r="Q59" s="105" t="s">
        <v>516</v>
      </c>
      <c r="R59" s="200">
        <v>980000</v>
      </c>
    </row>
    <row r="60" spans="1:26" hidden="1" x14ac:dyDescent="0.25">
      <c r="R60" s="105">
        <f>SUM(R58:R59)</f>
        <v>1650000</v>
      </c>
    </row>
    <row r="61" spans="1:26" hidden="1" x14ac:dyDescent="0.25"/>
    <row r="62" spans="1:26" hidden="1" x14ac:dyDescent="0.25"/>
  </sheetData>
  <sheetProtection algorithmName="SHA-512" hashValue="ZFeQu8uXPq0W8zaQ5os/vsQ7M/BmkDf+tEfEGAmvAC2rAkeyDrWDPdEeNJgM3/TZ6HndyFd5cRtDJ6VNdHxXGQ==" saltValue="HhSYeSTtAPyzV4gk0kzUlA==" spinCount="100000" sheet="1" formatCells="0" formatColumns="0" formatRows="0" insertColumns="0" insertRows="0" insertHyperlinks="0" deleteColumns="0" deleteRows="0" sort="0" autoFilter="0" pivotTables="0"/>
  <mergeCells count="1">
    <mergeCell ref="A2:W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rightToLeft="1" topLeftCell="A10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A3" s="258"/>
      <c r="C3" s="255" t="s">
        <v>728</v>
      </c>
      <c r="D3" s="258"/>
      <c r="E3" s="258"/>
      <c r="F3" s="258"/>
      <c r="G3" s="258"/>
      <c r="H3" s="258"/>
      <c r="I3" s="258"/>
      <c r="J3" s="258"/>
      <c r="K3" s="258"/>
      <c r="L3" s="258"/>
    </row>
    <row r="4" spans="1:17" ht="21" x14ac:dyDescent="0.25">
      <c r="A4" s="258"/>
      <c r="C4" s="255"/>
      <c r="D4" s="258"/>
      <c r="E4" s="258"/>
      <c r="F4" s="258"/>
      <c r="G4" s="258"/>
      <c r="H4" s="258"/>
      <c r="I4" s="258"/>
      <c r="J4" s="258"/>
      <c r="K4" s="258"/>
      <c r="L4" s="258"/>
    </row>
    <row r="5" spans="1:17" ht="15.6" x14ac:dyDescent="0.25">
      <c r="A5" s="258"/>
      <c r="C5" s="258" t="s">
        <v>727</v>
      </c>
      <c r="D5" s="258"/>
      <c r="E5" s="258"/>
      <c r="F5" s="258"/>
      <c r="G5" s="258"/>
      <c r="H5" s="258"/>
      <c r="I5" s="258"/>
      <c r="J5" s="258"/>
      <c r="K5" s="258"/>
      <c r="L5" s="258"/>
    </row>
    <row r="6" spans="1:17" ht="16.2" thickBot="1" x14ac:dyDescent="0.3">
      <c r="A6" s="258"/>
      <c r="C6" s="258"/>
      <c r="D6" s="258"/>
      <c r="E6" s="258"/>
      <c r="F6" s="258"/>
      <c r="G6" s="258"/>
      <c r="H6" s="258"/>
      <c r="I6" s="258"/>
      <c r="J6" s="258"/>
      <c r="K6" s="258"/>
      <c r="L6" s="258"/>
    </row>
    <row r="7" spans="1:17" ht="16.2" thickBot="1" x14ac:dyDescent="0.3">
      <c r="A7" s="258"/>
      <c r="B7" s="343" t="s">
        <v>588</v>
      </c>
      <c r="C7" s="258" t="s">
        <v>719</v>
      </c>
      <c r="D7" s="258"/>
      <c r="E7" s="258"/>
      <c r="F7" s="360">
        <f>'פרוט שאיפה '!U28</f>
        <v>14614320</v>
      </c>
      <c r="I7" s="258"/>
      <c r="J7" s="258"/>
      <c r="K7" s="258"/>
      <c r="L7" s="258"/>
    </row>
    <row r="8" spans="1:17" ht="21" x14ac:dyDescent="0.25">
      <c r="A8" s="258"/>
      <c r="C8" s="255"/>
      <c r="D8" s="258"/>
      <c r="E8" s="258"/>
      <c r="F8" s="258"/>
      <c r="H8" s="258"/>
      <c r="I8" s="258"/>
      <c r="J8" s="258"/>
      <c r="K8" s="258"/>
      <c r="L8" s="258"/>
    </row>
    <row r="9" spans="1:17" ht="15.6" x14ac:dyDescent="0.25">
      <c r="B9" s="343" t="s">
        <v>588</v>
      </c>
      <c r="C9" s="258" t="s">
        <v>698</v>
      </c>
      <c r="D9" s="258"/>
      <c r="E9" s="258"/>
      <c r="F9" s="258"/>
      <c r="G9" s="258"/>
      <c r="H9" s="258"/>
      <c r="I9" s="258"/>
      <c r="J9" s="258"/>
      <c r="K9" s="258"/>
      <c r="L9" s="258"/>
    </row>
    <row r="10" spans="1:17" ht="16.2" thickBot="1" x14ac:dyDescent="0.3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D11" s="359" t="s">
        <v>571</v>
      </c>
      <c r="E11" s="353" t="s">
        <v>693</v>
      </c>
      <c r="F11" s="352" t="s">
        <v>697</v>
      </c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13</v>
      </c>
      <c r="E12" s="365">
        <f>'פרוט שאיפה '!V28</f>
        <v>9820000</v>
      </c>
      <c r="F12" s="362">
        <f>E12/$E$15</f>
        <v>0.67194368263456661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14</v>
      </c>
      <c r="E13" s="365">
        <f>'פרוט שאיפה '!W28</f>
        <v>4720000</v>
      </c>
      <c r="F13" s="362">
        <f>E13/$E$15</f>
        <v>0.32297089430093223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C14" s="343"/>
      <c r="D14" s="351" t="s">
        <v>223</v>
      </c>
      <c r="E14" s="365">
        <f>'פרוט שאיפה '!Y28</f>
        <v>74320</v>
      </c>
      <c r="F14" s="362">
        <f>E14/$E$15</f>
        <v>5.0854230645011192E-3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6.2" thickBot="1" x14ac:dyDescent="0.3">
      <c r="C15" s="343"/>
      <c r="D15" s="350" t="s">
        <v>248</v>
      </c>
      <c r="E15" s="366">
        <f>SUM(E12:E14)</f>
        <v>14614320</v>
      </c>
      <c r="F15" s="408">
        <f>SUM(F12:F14)</f>
        <v>0.99999999999999989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5.6" x14ac:dyDescent="0.25">
      <c r="B17" s="343" t="s">
        <v>588</v>
      </c>
      <c r="C17" s="258" t="s">
        <v>706</v>
      </c>
      <c r="D17" s="258"/>
      <c r="F17" s="258"/>
      <c r="H17" s="265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1:17" ht="15.6" x14ac:dyDescent="0.25">
      <c r="B18" s="343"/>
      <c r="C18" s="258"/>
      <c r="D18" s="258" t="s">
        <v>733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1:17" ht="15.6" x14ac:dyDescent="0.25">
      <c r="B19" s="343"/>
      <c r="C19" s="258"/>
      <c r="D19" s="258" t="s">
        <v>734</v>
      </c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1" spans="1:17" ht="21" x14ac:dyDescent="0.25">
      <c r="A21" s="258"/>
      <c r="C21" s="255" t="s">
        <v>726</v>
      </c>
      <c r="D21" s="258"/>
      <c r="E21" s="258"/>
      <c r="F21" s="258"/>
      <c r="G21" s="258"/>
      <c r="H21" s="258"/>
      <c r="I21" s="258"/>
      <c r="J21" s="258"/>
      <c r="K21" s="258"/>
      <c r="L21" s="258"/>
    </row>
    <row r="22" spans="1:17" ht="13.5" customHeight="1" thickBot="1" x14ac:dyDescent="0.3">
      <c r="A22" s="258"/>
      <c r="C22" s="255"/>
      <c r="D22" s="258"/>
      <c r="E22" s="258"/>
      <c r="F22" s="258"/>
      <c r="G22" s="258"/>
      <c r="H22" s="258"/>
      <c r="I22" s="258"/>
      <c r="J22" s="258"/>
      <c r="K22" s="258"/>
      <c r="L22" s="258"/>
    </row>
    <row r="23" spans="1:17" ht="16.2" thickBot="1" x14ac:dyDescent="0.3">
      <c r="A23" s="258"/>
      <c r="B23" s="343" t="s">
        <v>588</v>
      </c>
      <c r="C23" s="258" t="s">
        <v>725</v>
      </c>
      <c r="D23" s="258"/>
      <c r="E23" s="258"/>
      <c r="F23" s="360">
        <f>'פרוט שאיפה '!U54</f>
        <v>1650000</v>
      </c>
      <c r="I23" s="258"/>
      <c r="J23" s="258"/>
      <c r="K23" s="258"/>
      <c r="L23" s="258"/>
    </row>
    <row r="24" spans="1:17" ht="15.6" x14ac:dyDescent="0.25">
      <c r="B24" s="343" t="s">
        <v>588</v>
      </c>
      <c r="C24" s="258" t="s">
        <v>832</v>
      </c>
      <c r="D24" s="258"/>
      <c r="E24" s="258"/>
      <c r="F24" s="258"/>
      <c r="G24" s="258"/>
      <c r="H24" s="258"/>
      <c r="I24" s="258"/>
      <c r="J24" s="258"/>
      <c r="K24" s="258"/>
      <c r="L24" s="258"/>
    </row>
    <row r="25" spans="1:17" ht="15.6" x14ac:dyDescent="0.25"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1:17" ht="21" x14ac:dyDescent="0.25">
      <c r="A26" s="258"/>
      <c r="C26" s="255" t="s">
        <v>732</v>
      </c>
      <c r="D26" s="258"/>
      <c r="E26" s="258"/>
      <c r="F26" s="258"/>
      <c r="G26" s="258"/>
      <c r="H26" s="258"/>
      <c r="I26" s="258"/>
      <c r="J26" s="258"/>
      <c r="K26" s="258"/>
      <c r="L26" s="258"/>
    </row>
    <row r="27" spans="1:17" ht="14.25" customHeight="1" thickBot="1" x14ac:dyDescent="0.3">
      <c r="A27" s="258"/>
      <c r="C27" s="255"/>
      <c r="D27" s="258"/>
      <c r="E27" s="258"/>
      <c r="F27" s="258"/>
      <c r="G27" s="258"/>
      <c r="H27" s="258"/>
      <c r="I27" s="258"/>
      <c r="J27" s="258"/>
      <c r="K27" s="258"/>
      <c r="L27" s="258"/>
    </row>
    <row r="28" spans="1:17" ht="16.2" thickBot="1" x14ac:dyDescent="0.3">
      <c r="A28" s="258"/>
      <c r="B28" s="343" t="s">
        <v>588</v>
      </c>
      <c r="C28" s="258" t="s">
        <v>731</v>
      </c>
      <c r="D28" s="258"/>
      <c r="E28" s="258"/>
      <c r="F28" s="360">
        <f>'פרוט שאיפה '!U67</f>
        <v>-2852941</v>
      </c>
      <c r="I28" s="258"/>
      <c r="J28" s="258"/>
      <c r="K28" s="258"/>
      <c r="L28" s="258"/>
    </row>
    <row r="29" spans="1:17" ht="21" x14ac:dyDescent="0.25">
      <c r="A29" s="258"/>
      <c r="C29" s="255"/>
      <c r="D29" s="258"/>
      <c r="E29" s="258"/>
      <c r="F29" s="258"/>
      <c r="H29" s="258"/>
      <c r="I29" s="258"/>
      <c r="J29" s="258"/>
      <c r="K29" s="258"/>
      <c r="L29" s="258"/>
    </row>
    <row r="30" spans="1:17" ht="15.6" x14ac:dyDescent="0.25">
      <c r="B30" s="343" t="s">
        <v>588</v>
      </c>
      <c r="C30" s="258" t="s">
        <v>706</v>
      </c>
      <c r="D30" s="258"/>
      <c r="F30" s="258"/>
      <c r="H30" s="265"/>
      <c r="I30" s="258"/>
      <c r="J30" s="258"/>
      <c r="K30" s="258"/>
      <c r="L30" s="258"/>
      <c r="M30" s="258"/>
      <c r="N30" s="258"/>
      <c r="O30" s="258"/>
      <c r="P30" s="258"/>
      <c r="Q30" s="258"/>
    </row>
    <row r="31" spans="1:17" ht="15.6" x14ac:dyDescent="0.25">
      <c r="B31" s="343"/>
      <c r="C31" s="258"/>
      <c r="D31" s="258" t="s">
        <v>797</v>
      </c>
      <c r="E31" s="258"/>
      <c r="F31" s="258"/>
      <c r="G31" s="258"/>
      <c r="H31" s="258"/>
      <c r="I31" s="258"/>
      <c r="J31" s="258"/>
      <c r="K31" s="258"/>
      <c r="L31" s="258"/>
    </row>
    <row r="32" spans="1:17" ht="15.6" x14ac:dyDescent="0.25"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</row>
    <row r="33" spans="2:17" ht="15.6" x14ac:dyDescent="0.25">
      <c r="B33" s="343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</row>
    <row r="34" spans="2:17" ht="15.6" x14ac:dyDescent="0.25">
      <c r="C34" s="258"/>
      <c r="D34" s="258"/>
      <c r="E34" s="258"/>
      <c r="F34" s="258"/>
      <c r="H34" s="258"/>
      <c r="I34" s="258"/>
      <c r="J34" s="258"/>
      <c r="K34" s="258"/>
      <c r="L34" s="258"/>
    </row>
    <row r="35" spans="2:17" ht="15.6" x14ac:dyDescent="0.25">
      <c r="B35" s="343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</row>
    <row r="36" spans="2:17" ht="15.6" x14ac:dyDescent="0.25">
      <c r="B36" s="343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</row>
  </sheetData>
  <sheetProtection algorithmName="SHA-512" hashValue="XJOXwluk/YkxZERUK+1686mg5MtriO++WpG04ghgCigue9YRWmMDTKy1rchaLSj0w/6gL2C6U0rb15e/O4jvzA==" saltValue="Fo20CysSy6N+V+puI1RIG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96"/>
  <sheetViews>
    <sheetView showZeros="0" rightToLeft="1" zoomScaleNormal="100" workbookViewId="0">
      <pane xSplit="3" ySplit="4" topLeftCell="D17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5.6640625" style="80" customWidth="1"/>
    <col min="4" max="4" width="11.5546875" style="105" customWidth="1"/>
    <col min="5" max="5" width="11.109375" style="105" customWidth="1"/>
    <col min="6" max="6" width="10.5546875" style="105" customWidth="1"/>
    <col min="7" max="7" width="11.109375" style="105" hidden="1" customWidth="1"/>
    <col min="8" max="10" width="12.6640625" style="105" hidden="1" customWidth="1"/>
    <col min="11" max="11" width="11.33203125" style="105" hidden="1" customWidth="1"/>
    <col min="12" max="12" width="11.109375" style="105" customWidth="1"/>
    <col min="13" max="13" width="8.88671875" style="105" customWidth="1"/>
    <col min="14" max="14" width="10.44140625" style="105" customWidth="1"/>
    <col min="15" max="15" width="10.6640625" style="105" customWidth="1"/>
    <col min="16" max="17" width="11.109375" style="105" hidden="1" customWidth="1"/>
    <col min="18" max="19" width="12" style="105" hidden="1" customWidth="1"/>
    <col min="20" max="20" width="9" style="105" customWidth="1"/>
    <col min="21" max="21" width="10" style="211" customWidth="1"/>
    <col min="22" max="22" width="10.33203125" style="80" bestFit="1" customWidth="1"/>
    <col min="23" max="23" width="9.109375" style="80" customWidth="1"/>
    <col min="24" max="24" width="5.33203125" style="80" hidden="1" customWidth="1"/>
    <col min="25" max="25" width="7.88671875" style="80" customWidth="1"/>
    <col min="26" max="26" width="7.88671875" style="80" hidden="1" customWidth="1"/>
    <col min="27" max="16384" width="9.109375" style="80"/>
  </cols>
  <sheetData>
    <row r="2" spans="1:26" ht="18" x14ac:dyDescent="0.35">
      <c r="A2" s="451" t="s">
        <v>295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4" spans="1:26" s="107" customFormat="1" ht="86.25" customHeight="1" x14ac:dyDescent="0.25">
      <c r="A4" s="106" t="s">
        <v>830</v>
      </c>
      <c r="B4" s="106" t="s">
        <v>1</v>
      </c>
      <c r="C4" s="106" t="s">
        <v>2</v>
      </c>
      <c r="D4" s="106" t="s">
        <v>3</v>
      </c>
      <c r="E4" s="106" t="s">
        <v>4</v>
      </c>
      <c r="F4" s="106" t="s">
        <v>5</v>
      </c>
      <c r="G4" s="106" t="s">
        <v>6</v>
      </c>
      <c r="H4" s="106" t="s">
        <v>7</v>
      </c>
      <c r="I4" s="106" t="s">
        <v>8</v>
      </c>
      <c r="J4" s="106" t="s">
        <v>9</v>
      </c>
      <c r="K4" s="106" t="s">
        <v>10</v>
      </c>
      <c r="L4" s="106" t="s">
        <v>11</v>
      </c>
      <c r="M4" s="82" t="s">
        <v>492</v>
      </c>
      <c r="N4" s="106" t="s">
        <v>299</v>
      </c>
      <c r="O4" s="106" t="s">
        <v>300</v>
      </c>
      <c r="P4" s="106" t="s">
        <v>12</v>
      </c>
      <c r="Q4" s="106" t="s">
        <v>301</v>
      </c>
      <c r="R4" s="106" t="s">
        <v>302</v>
      </c>
      <c r="S4" s="106" t="s">
        <v>303</v>
      </c>
      <c r="T4" s="106" t="s">
        <v>304</v>
      </c>
      <c r="U4" s="220" t="s">
        <v>305</v>
      </c>
      <c r="V4" s="106" t="s">
        <v>13</v>
      </c>
      <c r="W4" s="106" t="s">
        <v>14</v>
      </c>
      <c r="X4" s="106" t="s">
        <v>15</v>
      </c>
      <c r="Y4" s="106" t="s">
        <v>223</v>
      </c>
      <c r="Z4" s="170" t="s">
        <v>16</v>
      </c>
    </row>
    <row r="5" spans="1:26" s="87" customFormat="1" x14ac:dyDescent="0.25">
      <c r="A5" s="85"/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209"/>
      <c r="V5" s="86"/>
      <c r="W5" s="86"/>
      <c r="X5" s="86"/>
      <c r="Y5" s="85"/>
      <c r="Z5" s="243"/>
    </row>
    <row r="6" spans="1:26" s="87" customFormat="1" ht="15.6" x14ac:dyDescent="0.25">
      <c r="A6" s="84"/>
      <c r="B6" s="84"/>
      <c r="C6" s="28" t="s">
        <v>224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94"/>
      <c r="V6" s="88"/>
      <c r="W6" s="88"/>
      <c r="X6" s="88"/>
      <c r="Y6" s="84"/>
      <c r="Z6" s="228"/>
    </row>
    <row r="7" spans="1:26" s="87" customFormat="1" x14ac:dyDescent="0.25">
      <c r="A7" s="84">
        <v>1</v>
      </c>
      <c r="B7" s="84">
        <v>1165</v>
      </c>
      <c r="C7" s="84" t="s">
        <v>226</v>
      </c>
      <c r="D7" s="88">
        <v>14550000</v>
      </c>
      <c r="E7" s="88">
        <v>11650000</v>
      </c>
      <c r="F7" s="88">
        <f t="shared" ref="F7:F27" si="0">D7-E7</f>
        <v>2900000</v>
      </c>
      <c r="G7" s="88">
        <v>10150000</v>
      </c>
      <c r="H7" s="88">
        <v>9402736.0800000001</v>
      </c>
      <c r="I7" s="88">
        <v>746481.07</v>
      </c>
      <c r="J7" s="88"/>
      <c r="K7" s="88">
        <f>SUM(I7:J7)</f>
        <v>746481.07</v>
      </c>
      <c r="L7" s="88">
        <f t="shared" ref="L7:L27" si="1">H7+K7</f>
        <v>10149217.15</v>
      </c>
      <c r="M7" s="88">
        <f>P7+S7</f>
        <v>782.84999999962747</v>
      </c>
      <c r="N7" s="88">
        <f>2900000-400000-1400000-200000</f>
        <v>900000</v>
      </c>
      <c r="O7" s="88">
        <f t="shared" ref="O7:O27" si="2">D7-L7-M7-N7</f>
        <v>3500000</v>
      </c>
      <c r="P7" s="88">
        <f t="shared" ref="P7:P27" si="3">G7-L7</f>
        <v>782.84999999962747</v>
      </c>
      <c r="Q7" s="88"/>
      <c r="R7" s="88"/>
      <c r="S7" s="88">
        <f t="shared" ref="S7:S27" si="4">SUM(Q7:R7)</f>
        <v>0</v>
      </c>
      <c r="T7" s="88">
        <f t="shared" ref="T7:T27" si="5">P7-M7+S7</f>
        <v>0</v>
      </c>
      <c r="U7" s="94">
        <f t="shared" ref="U7:U27" si="6">N7-T7</f>
        <v>900000</v>
      </c>
      <c r="V7" s="88">
        <v>800000</v>
      </c>
      <c r="W7" s="88">
        <f>U7-V7-X7-Y7</f>
        <v>100000</v>
      </c>
      <c r="X7" s="88"/>
      <c r="Y7" s="84"/>
      <c r="Z7" s="228">
        <v>746000</v>
      </c>
    </row>
    <row r="8" spans="1:26" s="87" customFormat="1" x14ac:dyDescent="0.25">
      <c r="A8" s="84">
        <f t="shared" ref="A8:A27" si="7">A7+1</f>
        <v>2</v>
      </c>
      <c r="B8" s="84">
        <v>1166</v>
      </c>
      <c r="C8" s="84" t="s">
        <v>277</v>
      </c>
      <c r="D8" s="88">
        <v>9215000</v>
      </c>
      <c r="E8" s="88">
        <v>7715000</v>
      </c>
      <c r="F8" s="88">
        <f t="shared" si="0"/>
        <v>1500000</v>
      </c>
      <c r="G8" s="88">
        <v>7115000</v>
      </c>
      <c r="H8" s="88">
        <v>6711424.3399999999</v>
      </c>
      <c r="I8" s="88">
        <v>397534.64</v>
      </c>
      <c r="J8" s="88"/>
      <c r="K8" s="88">
        <f t="shared" ref="K8:K23" si="8">SUM(I8:J8)</f>
        <v>397534.64</v>
      </c>
      <c r="L8" s="88">
        <f t="shared" si="1"/>
        <v>7108958.9799999995</v>
      </c>
      <c r="M8" s="88">
        <f t="shared" ref="M8:M27" si="9">P8+S8</f>
        <v>6041.0200000004843</v>
      </c>
      <c r="N8" s="88">
        <f>1500000-500000</f>
        <v>1000000</v>
      </c>
      <c r="O8" s="88">
        <f t="shared" si="2"/>
        <v>1100000</v>
      </c>
      <c r="P8" s="88">
        <f t="shared" si="3"/>
        <v>6041.0200000004843</v>
      </c>
      <c r="Q8" s="88"/>
      <c r="R8" s="88"/>
      <c r="S8" s="88">
        <f t="shared" si="4"/>
        <v>0</v>
      </c>
      <c r="T8" s="88">
        <f t="shared" si="5"/>
        <v>0</v>
      </c>
      <c r="U8" s="94">
        <f t="shared" si="6"/>
        <v>1000000</v>
      </c>
      <c r="V8" s="88">
        <v>1000000</v>
      </c>
      <c r="W8" s="88">
        <f t="shared" ref="W8:W27" si="10">U8-V8-X8-Y8</f>
        <v>0</v>
      </c>
      <c r="X8" s="88"/>
      <c r="Y8" s="84"/>
      <c r="Z8" s="228">
        <v>746000</v>
      </c>
    </row>
    <row r="9" spans="1:26" s="87" customFormat="1" x14ac:dyDescent="0.25">
      <c r="A9" s="84">
        <f t="shared" si="7"/>
        <v>3</v>
      </c>
      <c r="B9" s="84">
        <v>1192</v>
      </c>
      <c r="C9" s="84" t="s">
        <v>191</v>
      </c>
      <c r="D9" s="88">
        <v>835000</v>
      </c>
      <c r="E9" s="88">
        <v>835000</v>
      </c>
      <c r="F9" s="88">
        <f t="shared" si="0"/>
        <v>0</v>
      </c>
      <c r="G9" s="88">
        <v>485000</v>
      </c>
      <c r="H9" s="88">
        <v>405559.85</v>
      </c>
      <c r="I9" s="88"/>
      <c r="J9" s="88"/>
      <c r="K9" s="88">
        <f t="shared" si="8"/>
        <v>0</v>
      </c>
      <c r="L9" s="88">
        <f t="shared" si="1"/>
        <v>405559.85</v>
      </c>
      <c r="M9" s="88">
        <f t="shared" si="9"/>
        <v>79440.150000000023</v>
      </c>
      <c r="N9" s="88"/>
      <c r="O9" s="88">
        <f t="shared" si="2"/>
        <v>350000</v>
      </c>
      <c r="P9" s="88">
        <f t="shared" si="3"/>
        <v>79440.150000000023</v>
      </c>
      <c r="Q9" s="88"/>
      <c r="R9" s="88"/>
      <c r="S9" s="88">
        <f t="shared" si="4"/>
        <v>0</v>
      </c>
      <c r="T9" s="88">
        <f t="shared" si="5"/>
        <v>0</v>
      </c>
      <c r="U9" s="94">
        <f t="shared" si="6"/>
        <v>0</v>
      </c>
      <c r="V9" s="88"/>
      <c r="W9" s="88">
        <f t="shared" si="10"/>
        <v>0</v>
      </c>
      <c r="X9" s="88"/>
      <c r="Y9" s="84"/>
      <c r="Z9" s="228">
        <v>810000</v>
      </c>
    </row>
    <row r="10" spans="1:26" s="87" customFormat="1" ht="27.6" x14ac:dyDescent="0.25">
      <c r="A10" s="84">
        <f t="shared" si="7"/>
        <v>4</v>
      </c>
      <c r="B10" s="84">
        <v>1254</v>
      </c>
      <c r="C10" s="84" t="s">
        <v>278</v>
      </c>
      <c r="D10" s="88">
        <v>35440000</v>
      </c>
      <c r="E10" s="88">
        <v>31190000</v>
      </c>
      <c r="F10" s="88">
        <f t="shared" si="0"/>
        <v>4250000</v>
      </c>
      <c r="G10" s="88">
        <v>26840000</v>
      </c>
      <c r="H10" s="88">
        <v>24908160.09</v>
      </c>
      <c r="I10" s="88">
        <v>1927107.45</v>
      </c>
      <c r="J10" s="88"/>
      <c r="K10" s="88">
        <f t="shared" si="8"/>
        <v>1927107.45</v>
      </c>
      <c r="L10" s="88">
        <f t="shared" si="1"/>
        <v>26835267.539999999</v>
      </c>
      <c r="M10" s="88">
        <f t="shared" si="9"/>
        <v>454732.46000000089</v>
      </c>
      <c r="N10" s="88">
        <f>4250000-1750000-300000</f>
        <v>2200000</v>
      </c>
      <c r="O10" s="88">
        <f t="shared" si="2"/>
        <v>5950000</v>
      </c>
      <c r="P10" s="88">
        <f t="shared" si="3"/>
        <v>4732.4600000008941</v>
      </c>
      <c r="Q10" s="149">
        <v>450000</v>
      </c>
      <c r="R10" s="88"/>
      <c r="S10" s="88">
        <f t="shared" si="4"/>
        <v>450000</v>
      </c>
      <c r="T10" s="88">
        <f t="shared" si="5"/>
        <v>0</v>
      </c>
      <c r="U10" s="94">
        <f t="shared" si="6"/>
        <v>2200000</v>
      </c>
      <c r="V10" s="88">
        <v>2200000</v>
      </c>
      <c r="W10" s="88">
        <f t="shared" si="10"/>
        <v>0</v>
      </c>
      <c r="X10" s="88"/>
      <c r="Y10" s="84"/>
      <c r="Z10" s="228">
        <v>746000</v>
      </c>
    </row>
    <row r="11" spans="1:26" s="87" customFormat="1" x14ac:dyDescent="0.25">
      <c r="A11" s="84">
        <f t="shared" si="7"/>
        <v>5</v>
      </c>
      <c r="B11" s="84">
        <v>1292</v>
      </c>
      <c r="C11" s="84" t="s">
        <v>192</v>
      </c>
      <c r="D11" s="88">
        <f>2900000-720000</f>
        <v>2180000</v>
      </c>
      <c r="E11" s="88">
        <v>2400000</v>
      </c>
      <c r="F11" s="88">
        <f t="shared" si="0"/>
        <v>-220000</v>
      </c>
      <c r="G11" s="88">
        <v>2180000</v>
      </c>
      <c r="H11" s="88">
        <v>2175474.5099999998</v>
      </c>
      <c r="I11" s="88">
        <v>3673.04</v>
      </c>
      <c r="J11" s="88"/>
      <c r="K11" s="88">
        <f t="shared" si="8"/>
        <v>3673.04</v>
      </c>
      <c r="L11" s="88">
        <f t="shared" si="1"/>
        <v>2179147.5499999998</v>
      </c>
      <c r="M11" s="88">
        <f t="shared" si="9"/>
        <v>852.45000000018626</v>
      </c>
      <c r="N11" s="88"/>
      <c r="O11" s="88">
        <f t="shared" si="2"/>
        <v>0</v>
      </c>
      <c r="P11" s="88">
        <f t="shared" si="3"/>
        <v>852.45000000018626</v>
      </c>
      <c r="Q11" s="88"/>
      <c r="R11" s="88"/>
      <c r="S11" s="88">
        <f t="shared" si="4"/>
        <v>0</v>
      </c>
      <c r="T11" s="88">
        <f t="shared" si="5"/>
        <v>0</v>
      </c>
      <c r="U11" s="94">
        <f t="shared" si="6"/>
        <v>0</v>
      </c>
      <c r="V11" s="88"/>
      <c r="W11" s="88">
        <f t="shared" si="10"/>
        <v>0</v>
      </c>
      <c r="X11" s="88"/>
      <c r="Y11" s="84"/>
      <c r="Z11" s="228">
        <v>746400</v>
      </c>
    </row>
    <row r="12" spans="1:26" s="87" customFormat="1" x14ac:dyDescent="0.25">
      <c r="A12" s="84">
        <f t="shared" si="7"/>
        <v>6</v>
      </c>
      <c r="B12" s="84">
        <v>1341</v>
      </c>
      <c r="C12" s="84" t="s">
        <v>193</v>
      </c>
      <c r="D12" s="88">
        <f>1550000-1000000</f>
        <v>550000</v>
      </c>
      <c r="E12" s="88">
        <v>1050000</v>
      </c>
      <c r="F12" s="88">
        <f t="shared" si="0"/>
        <v>-500000</v>
      </c>
      <c r="G12" s="88">
        <v>550000</v>
      </c>
      <c r="H12" s="88">
        <v>290040.31</v>
      </c>
      <c r="I12" s="88">
        <v>170098.23</v>
      </c>
      <c r="J12" s="88"/>
      <c r="K12" s="88">
        <f t="shared" si="8"/>
        <v>170098.23</v>
      </c>
      <c r="L12" s="88">
        <f t="shared" si="1"/>
        <v>460138.54000000004</v>
      </c>
      <c r="M12" s="88">
        <f t="shared" si="9"/>
        <v>89861.459999999963</v>
      </c>
      <c r="N12" s="88"/>
      <c r="O12" s="88">
        <f t="shared" si="2"/>
        <v>0</v>
      </c>
      <c r="P12" s="88">
        <f t="shared" si="3"/>
        <v>89861.459999999963</v>
      </c>
      <c r="Q12" s="88"/>
      <c r="R12" s="88"/>
      <c r="S12" s="88">
        <f t="shared" si="4"/>
        <v>0</v>
      </c>
      <c r="T12" s="88">
        <f t="shared" si="5"/>
        <v>0</v>
      </c>
      <c r="U12" s="94">
        <f t="shared" si="6"/>
        <v>0</v>
      </c>
      <c r="V12" s="88"/>
      <c r="W12" s="88">
        <f t="shared" si="10"/>
        <v>0</v>
      </c>
      <c r="X12" s="88"/>
      <c r="Y12" s="84"/>
      <c r="Z12" s="228">
        <v>746000</v>
      </c>
    </row>
    <row r="13" spans="1:26" s="87" customFormat="1" x14ac:dyDescent="0.25">
      <c r="A13" s="84">
        <f t="shared" si="7"/>
        <v>7</v>
      </c>
      <c r="B13" s="84">
        <v>1342</v>
      </c>
      <c r="C13" s="84" t="s">
        <v>194</v>
      </c>
      <c r="D13" s="88">
        <v>3050000</v>
      </c>
      <c r="E13" s="88">
        <v>2300000</v>
      </c>
      <c r="F13" s="88">
        <f t="shared" si="0"/>
        <v>750000</v>
      </c>
      <c r="G13" s="88">
        <v>1950000</v>
      </c>
      <c r="H13" s="88">
        <v>1585744.64</v>
      </c>
      <c r="I13" s="88">
        <v>223951.03</v>
      </c>
      <c r="J13" s="88"/>
      <c r="K13" s="88">
        <f t="shared" si="8"/>
        <v>223951.03</v>
      </c>
      <c r="L13" s="88">
        <f t="shared" si="1"/>
        <v>1809695.67</v>
      </c>
      <c r="M13" s="88">
        <f t="shared" si="9"/>
        <v>140304.33000000007</v>
      </c>
      <c r="N13" s="88">
        <f>750000-100000-150000</f>
        <v>500000</v>
      </c>
      <c r="O13" s="88">
        <f t="shared" si="2"/>
        <v>600000</v>
      </c>
      <c r="P13" s="88">
        <f t="shared" si="3"/>
        <v>140304.33000000007</v>
      </c>
      <c r="Q13" s="88">
        <f>100000-100000</f>
        <v>0</v>
      </c>
      <c r="R13" s="88"/>
      <c r="S13" s="88">
        <f t="shared" si="4"/>
        <v>0</v>
      </c>
      <c r="T13" s="88">
        <f t="shared" si="5"/>
        <v>0</v>
      </c>
      <c r="U13" s="94">
        <f t="shared" si="6"/>
        <v>500000</v>
      </c>
      <c r="V13" s="88">
        <v>350000</v>
      </c>
      <c r="W13" s="88">
        <f t="shared" si="10"/>
        <v>150000</v>
      </c>
      <c r="X13" s="88"/>
      <c r="Y13" s="84"/>
      <c r="Z13" s="228">
        <v>746000</v>
      </c>
    </row>
    <row r="14" spans="1:26" s="87" customFormat="1" x14ac:dyDescent="0.25">
      <c r="A14" s="84">
        <f t="shared" si="7"/>
        <v>8</v>
      </c>
      <c r="B14" s="84">
        <v>1343</v>
      </c>
      <c r="C14" s="84" t="s">
        <v>195</v>
      </c>
      <c r="D14" s="88">
        <v>8320000</v>
      </c>
      <c r="E14" s="88">
        <v>6520000</v>
      </c>
      <c r="F14" s="88">
        <f t="shared" si="0"/>
        <v>1800000</v>
      </c>
      <c r="G14" s="88">
        <v>4320000</v>
      </c>
      <c r="H14" s="88">
        <v>3692096.65</v>
      </c>
      <c r="I14" s="88">
        <v>407384.91</v>
      </c>
      <c r="J14" s="88"/>
      <c r="K14" s="88">
        <f t="shared" si="8"/>
        <v>407384.91</v>
      </c>
      <c r="L14" s="88">
        <f t="shared" si="1"/>
        <v>4099481.56</v>
      </c>
      <c r="M14" s="88">
        <f t="shared" si="9"/>
        <v>220518.43999999994</v>
      </c>
      <c r="N14" s="88">
        <f>1800000-1000000</f>
        <v>800000</v>
      </c>
      <c r="O14" s="88">
        <f t="shared" si="2"/>
        <v>3199999.9999999995</v>
      </c>
      <c r="P14" s="88">
        <f t="shared" si="3"/>
        <v>220518.43999999994</v>
      </c>
      <c r="Q14" s="88"/>
      <c r="R14" s="88"/>
      <c r="S14" s="88">
        <f t="shared" si="4"/>
        <v>0</v>
      </c>
      <c r="T14" s="88">
        <f t="shared" si="5"/>
        <v>0</v>
      </c>
      <c r="U14" s="94">
        <f t="shared" si="6"/>
        <v>800000</v>
      </c>
      <c r="V14" s="88">
        <v>800000</v>
      </c>
      <c r="W14" s="88">
        <f t="shared" si="10"/>
        <v>0</v>
      </c>
      <c r="X14" s="88"/>
      <c r="Y14" s="84"/>
      <c r="Z14" s="228">
        <v>746000</v>
      </c>
    </row>
    <row r="15" spans="1:26" s="87" customFormat="1" x14ac:dyDescent="0.25">
      <c r="A15" s="84">
        <f t="shared" si="7"/>
        <v>9</v>
      </c>
      <c r="B15" s="84">
        <v>1435</v>
      </c>
      <c r="C15" s="84" t="s">
        <v>388</v>
      </c>
      <c r="D15" s="88">
        <v>19800000</v>
      </c>
      <c r="E15" s="88">
        <v>16600000</v>
      </c>
      <c r="F15" s="88">
        <f t="shared" si="0"/>
        <v>3200000</v>
      </c>
      <c r="G15" s="88">
        <v>14700000</v>
      </c>
      <c r="H15" s="88">
        <v>12975595.25</v>
      </c>
      <c r="I15" s="88">
        <v>1622724.43</v>
      </c>
      <c r="J15" s="88"/>
      <c r="K15" s="88">
        <f t="shared" si="8"/>
        <v>1622724.43</v>
      </c>
      <c r="L15" s="88">
        <f t="shared" si="1"/>
        <v>14598319.68</v>
      </c>
      <c r="M15" s="88">
        <f t="shared" si="9"/>
        <v>901680.3200000003</v>
      </c>
      <c r="N15" s="88">
        <f>3200000+74320</f>
        <v>3274320</v>
      </c>
      <c r="O15" s="88">
        <f t="shared" si="2"/>
        <v>1025680</v>
      </c>
      <c r="P15" s="88">
        <f t="shared" si="3"/>
        <v>101680.3200000003</v>
      </c>
      <c r="Q15" s="199">
        <v>800000</v>
      </c>
      <c r="R15" s="88"/>
      <c r="S15" s="88">
        <f t="shared" si="4"/>
        <v>800000</v>
      </c>
      <c r="T15" s="88">
        <f t="shared" si="5"/>
        <v>0</v>
      </c>
      <c r="U15" s="94">
        <f t="shared" si="6"/>
        <v>3274320</v>
      </c>
      <c r="V15" s="88"/>
      <c r="W15" s="88">
        <f t="shared" si="10"/>
        <v>3200000</v>
      </c>
      <c r="X15" s="88"/>
      <c r="Y15" s="88">
        <v>74320</v>
      </c>
      <c r="Z15" s="228">
        <v>848500</v>
      </c>
    </row>
    <row r="16" spans="1:26" s="87" customFormat="1" x14ac:dyDescent="0.25">
      <c r="A16" s="84">
        <f t="shared" si="7"/>
        <v>10</v>
      </c>
      <c r="B16" s="84">
        <v>1491</v>
      </c>
      <c r="C16" s="84" t="s">
        <v>196</v>
      </c>
      <c r="D16" s="88">
        <v>13700000</v>
      </c>
      <c r="E16" s="88">
        <v>9530000</v>
      </c>
      <c r="F16" s="88">
        <f t="shared" si="0"/>
        <v>4170000</v>
      </c>
      <c r="G16" s="88">
        <v>4300000</v>
      </c>
      <c r="H16" s="88">
        <v>2949233.34</v>
      </c>
      <c r="I16" s="88">
        <v>844301.31</v>
      </c>
      <c r="J16" s="88"/>
      <c r="K16" s="88">
        <f t="shared" si="8"/>
        <v>844301.31</v>
      </c>
      <c r="L16" s="88">
        <f t="shared" si="1"/>
        <v>3793534.65</v>
      </c>
      <c r="M16" s="88">
        <f t="shared" si="9"/>
        <v>706465.35000000009</v>
      </c>
      <c r="N16" s="88">
        <f>4170000-2000000-1000000</f>
        <v>1170000</v>
      </c>
      <c r="O16" s="88">
        <f t="shared" si="2"/>
        <v>8030000</v>
      </c>
      <c r="P16" s="88">
        <f t="shared" si="3"/>
        <v>506465.35000000009</v>
      </c>
      <c r="Q16" s="199">
        <v>200000</v>
      </c>
      <c r="R16" s="88"/>
      <c r="S16" s="88">
        <f t="shared" si="4"/>
        <v>200000</v>
      </c>
      <c r="T16" s="88">
        <f t="shared" si="5"/>
        <v>0</v>
      </c>
      <c r="U16" s="94">
        <f t="shared" si="6"/>
        <v>1170000</v>
      </c>
      <c r="V16" s="88">
        <v>1170000</v>
      </c>
      <c r="W16" s="88">
        <f t="shared" si="10"/>
        <v>0</v>
      </c>
      <c r="X16" s="88"/>
      <c r="Y16" s="84"/>
      <c r="Z16" s="228">
        <v>746000</v>
      </c>
    </row>
    <row r="17" spans="1:26" s="87" customFormat="1" x14ac:dyDescent="0.25">
      <c r="A17" s="84">
        <f t="shared" si="7"/>
        <v>11</v>
      </c>
      <c r="B17" s="84">
        <v>1504</v>
      </c>
      <c r="C17" s="84" t="s">
        <v>197</v>
      </c>
      <c r="D17" s="88">
        <v>1700000</v>
      </c>
      <c r="E17" s="88">
        <v>1450000</v>
      </c>
      <c r="F17" s="88">
        <f t="shared" si="0"/>
        <v>250000</v>
      </c>
      <c r="G17" s="88">
        <v>1250000</v>
      </c>
      <c r="H17" s="88">
        <v>1172547</v>
      </c>
      <c r="I17" s="88">
        <v>59575</v>
      </c>
      <c r="J17" s="88"/>
      <c r="K17" s="88">
        <f t="shared" si="8"/>
        <v>59575</v>
      </c>
      <c r="L17" s="88">
        <f t="shared" si="1"/>
        <v>1232122</v>
      </c>
      <c r="M17" s="88">
        <f t="shared" si="9"/>
        <v>17878</v>
      </c>
      <c r="N17" s="88">
        <f>250000-200000</f>
        <v>50000</v>
      </c>
      <c r="O17" s="88">
        <f t="shared" si="2"/>
        <v>400000</v>
      </c>
      <c r="P17" s="88">
        <f t="shared" si="3"/>
        <v>17878</v>
      </c>
      <c r="Q17" s="88"/>
      <c r="R17" s="88"/>
      <c r="S17" s="88">
        <f t="shared" si="4"/>
        <v>0</v>
      </c>
      <c r="T17" s="88">
        <f t="shared" si="5"/>
        <v>0</v>
      </c>
      <c r="U17" s="94">
        <f t="shared" si="6"/>
        <v>50000</v>
      </c>
      <c r="V17" s="88"/>
      <c r="W17" s="88">
        <f t="shared" si="10"/>
        <v>50000</v>
      </c>
      <c r="X17" s="88"/>
      <c r="Y17" s="84"/>
      <c r="Z17" s="228">
        <v>746000</v>
      </c>
    </row>
    <row r="18" spans="1:26" s="87" customFormat="1" x14ac:dyDescent="0.25">
      <c r="A18" s="84">
        <f t="shared" si="7"/>
        <v>12</v>
      </c>
      <c r="B18" s="84">
        <v>1564</v>
      </c>
      <c r="C18" s="84" t="s">
        <v>198</v>
      </c>
      <c r="D18" s="88">
        <v>350000</v>
      </c>
      <c r="E18" s="88">
        <v>382000</v>
      </c>
      <c r="F18" s="88">
        <f t="shared" si="0"/>
        <v>-32000</v>
      </c>
      <c r="G18" s="88">
        <v>350000</v>
      </c>
      <c r="H18" s="88">
        <v>333177.02</v>
      </c>
      <c r="I18" s="88">
        <v>16822.97</v>
      </c>
      <c r="J18" s="88"/>
      <c r="K18" s="88">
        <f t="shared" si="8"/>
        <v>16822.97</v>
      </c>
      <c r="L18" s="88">
        <f t="shared" si="1"/>
        <v>349999.99</v>
      </c>
      <c r="M18" s="88">
        <f t="shared" si="9"/>
        <v>1.0000000009313226E-2</v>
      </c>
      <c r="N18" s="88"/>
      <c r="O18" s="88">
        <f t="shared" si="2"/>
        <v>0</v>
      </c>
      <c r="P18" s="88">
        <f t="shared" si="3"/>
        <v>1.0000000009313226E-2</v>
      </c>
      <c r="Q18" s="88"/>
      <c r="R18" s="88"/>
      <c r="S18" s="88">
        <f t="shared" si="4"/>
        <v>0</v>
      </c>
      <c r="T18" s="88">
        <f t="shared" si="5"/>
        <v>0</v>
      </c>
      <c r="U18" s="94">
        <f t="shared" si="6"/>
        <v>0</v>
      </c>
      <c r="V18" s="88"/>
      <c r="W18" s="88">
        <f t="shared" si="10"/>
        <v>0</v>
      </c>
      <c r="X18" s="88"/>
      <c r="Y18" s="84"/>
      <c r="Z18" s="228">
        <v>930000</v>
      </c>
    </row>
    <row r="19" spans="1:26" s="87" customFormat="1" x14ac:dyDescent="0.25">
      <c r="A19" s="84">
        <f t="shared" si="7"/>
        <v>13</v>
      </c>
      <c r="B19" s="84">
        <v>1629</v>
      </c>
      <c r="C19" s="84" t="s">
        <v>199</v>
      </c>
      <c r="D19" s="88">
        <v>900000</v>
      </c>
      <c r="E19" s="88">
        <v>400000</v>
      </c>
      <c r="F19" s="88">
        <f t="shared" si="0"/>
        <v>500000</v>
      </c>
      <c r="G19" s="88">
        <v>250000</v>
      </c>
      <c r="H19" s="88">
        <v>158903.67000000001</v>
      </c>
      <c r="I19" s="88">
        <v>18626.02</v>
      </c>
      <c r="J19" s="88"/>
      <c r="K19" s="88">
        <f t="shared" si="8"/>
        <v>18626.02</v>
      </c>
      <c r="L19" s="88">
        <f t="shared" si="1"/>
        <v>177529.69</v>
      </c>
      <c r="M19" s="88">
        <f t="shared" si="9"/>
        <v>72470.31</v>
      </c>
      <c r="N19" s="88">
        <f>500000-400000</f>
        <v>100000</v>
      </c>
      <c r="O19" s="88">
        <f t="shared" si="2"/>
        <v>550000</v>
      </c>
      <c r="P19" s="88">
        <f t="shared" si="3"/>
        <v>72470.31</v>
      </c>
      <c r="Q19" s="88"/>
      <c r="R19" s="88"/>
      <c r="S19" s="88">
        <f t="shared" si="4"/>
        <v>0</v>
      </c>
      <c r="T19" s="88">
        <f t="shared" si="5"/>
        <v>0</v>
      </c>
      <c r="U19" s="94">
        <f t="shared" si="6"/>
        <v>100000</v>
      </c>
      <c r="V19" s="88"/>
      <c r="W19" s="88">
        <f t="shared" si="10"/>
        <v>100000</v>
      </c>
      <c r="X19" s="88"/>
      <c r="Y19" s="84"/>
      <c r="Z19" s="228">
        <v>746000</v>
      </c>
    </row>
    <row r="20" spans="1:26" s="87" customFormat="1" x14ac:dyDescent="0.25">
      <c r="A20" s="84">
        <f t="shared" si="7"/>
        <v>14</v>
      </c>
      <c r="B20" s="84">
        <v>1680</v>
      </c>
      <c r="C20" s="84" t="s">
        <v>200</v>
      </c>
      <c r="D20" s="88">
        <v>950000</v>
      </c>
      <c r="E20" s="88">
        <v>950000</v>
      </c>
      <c r="F20" s="88">
        <f t="shared" si="0"/>
        <v>0</v>
      </c>
      <c r="G20" s="88">
        <v>100000</v>
      </c>
      <c r="H20" s="88">
        <v>40950</v>
      </c>
      <c r="I20" s="88"/>
      <c r="J20" s="88"/>
      <c r="K20" s="88">
        <f t="shared" si="8"/>
        <v>0</v>
      </c>
      <c r="L20" s="88">
        <f t="shared" si="1"/>
        <v>40950</v>
      </c>
      <c r="M20" s="88">
        <f t="shared" si="9"/>
        <v>159050</v>
      </c>
      <c r="N20" s="88">
        <f>600000-500000</f>
        <v>100000</v>
      </c>
      <c r="O20" s="88">
        <f t="shared" si="2"/>
        <v>650000</v>
      </c>
      <c r="P20" s="88">
        <f t="shared" si="3"/>
        <v>59050</v>
      </c>
      <c r="Q20" s="199">
        <v>100000</v>
      </c>
      <c r="R20" s="88"/>
      <c r="S20" s="88">
        <f t="shared" si="4"/>
        <v>100000</v>
      </c>
      <c r="T20" s="88">
        <f t="shared" si="5"/>
        <v>0</v>
      </c>
      <c r="U20" s="94">
        <f t="shared" si="6"/>
        <v>100000</v>
      </c>
      <c r="V20" s="88"/>
      <c r="W20" s="88">
        <f t="shared" si="10"/>
        <v>100000</v>
      </c>
      <c r="X20" s="88"/>
      <c r="Y20" s="84"/>
      <c r="Z20" s="228">
        <v>746000</v>
      </c>
    </row>
    <row r="21" spans="1:26" s="87" customFormat="1" x14ac:dyDescent="0.25">
      <c r="A21" s="84">
        <f t="shared" si="7"/>
        <v>15</v>
      </c>
      <c r="B21" s="84">
        <v>1861</v>
      </c>
      <c r="C21" s="84" t="s">
        <v>385</v>
      </c>
      <c r="D21" s="88">
        <v>270000</v>
      </c>
      <c r="E21" s="88">
        <v>270000</v>
      </c>
      <c r="F21" s="88">
        <f t="shared" si="0"/>
        <v>0</v>
      </c>
      <c r="G21" s="88">
        <v>0</v>
      </c>
      <c r="H21" s="88">
        <v>0</v>
      </c>
      <c r="I21" s="88">
        <v>0</v>
      </c>
      <c r="J21" s="88"/>
      <c r="K21" s="88">
        <f t="shared" si="8"/>
        <v>0</v>
      </c>
      <c r="L21" s="88">
        <f t="shared" si="1"/>
        <v>0</v>
      </c>
      <c r="M21" s="88">
        <f t="shared" si="9"/>
        <v>0</v>
      </c>
      <c r="N21" s="88">
        <v>270000</v>
      </c>
      <c r="O21" s="88">
        <f t="shared" si="2"/>
        <v>0</v>
      </c>
      <c r="P21" s="88">
        <f t="shared" si="3"/>
        <v>0</v>
      </c>
      <c r="Q21" s="88"/>
      <c r="R21" s="88"/>
      <c r="S21" s="88">
        <f t="shared" si="4"/>
        <v>0</v>
      </c>
      <c r="T21" s="88">
        <f t="shared" si="5"/>
        <v>0</v>
      </c>
      <c r="U21" s="94">
        <f t="shared" si="6"/>
        <v>270000</v>
      </c>
      <c r="V21" s="88"/>
      <c r="W21" s="88">
        <f t="shared" si="10"/>
        <v>270000</v>
      </c>
      <c r="X21" s="88"/>
      <c r="Y21" s="84"/>
      <c r="Z21" s="228">
        <v>714000</v>
      </c>
    </row>
    <row r="22" spans="1:26" s="87" customFormat="1" x14ac:dyDescent="0.25">
      <c r="A22" s="84">
        <f t="shared" si="7"/>
        <v>16</v>
      </c>
      <c r="B22" s="84">
        <v>1893</v>
      </c>
      <c r="C22" s="84" t="s">
        <v>386</v>
      </c>
      <c r="D22" s="88">
        <v>300000</v>
      </c>
      <c r="E22" s="88">
        <v>300000</v>
      </c>
      <c r="F22" s="88">
        <f t="shared" si="0"/>
        <v>0</v>
      </c>
      <c r="G22" s="88">
        <v>150000</v>
      </c>
      <c r="H22" s="88">
        <v>0</v>
      </c>
      <c r="I22" s="88">
        <v>0</v>
      </c>
      <c r="J22" s="88"/>
      <c r="K22" s="88">
        <f t="shared" si="8"/>
        <v>0</v>
      </c>
      <c r="L22" s="88">
        <f t="shared" si="1"/>
        <v>0</v>
      </c>
      <c r="M22" s="88">
        <f t="shared" si="9"/>
        <v>150000</v>
      </c>
      <c r="N22" s="88">
        <v>150000</v>
      </c>
      <c r="O22" s="88">
        <f t="shared" si="2"/>
        <v>0</v>
      </c>
      <c r="P22" s="88">
        <f t="shared" si="3"/>
        <v>150000</v>
      </c>
      <c r="Q22" s="88"/>
      <c r="R22" s="88"/>
      <c r="S22" s="88">
        <f t="shared" si="4"/>
        <v>0</v>
      </c>
      <c r="T22" s="88">
        <f t="shared" si="5"/>
        <v>0</v>
      </c>
      <c r="U22" s="94">
        <f t="shared" si="6"/>
        <v>150000</v>
      </c>
      <c r="V22" s="88"/>
      <c r="W22" s="88">
        <f t="shared" si="10"/>
        <v>150000</v>
      </c>
      <c r="X22" s="88"/>
      <c r="Y22" s="84"/>
      <c r="Z22" s="228">
        <v>714000</v>
      </c>
    </row>
    <row r="23" spans="1:26" s="87" customFormat="1" x14ac:dyDescent="0.25">
      <c r="A23" s="84">
        <f t="shared" si="7"/>
        <v>17</v>
      </c>
      <c r="B23" s="84">
        <v>1899</v>
      </c>
      <c r="C23" s="84" t="s">
        <v>466</v>
      </c>
      <c r="D23" s="88">
        <v>380000</v>
      </c>
      <c r="E23" s="88">
        <v>380000</v>
      </c>
      <c r="F23" s="88">
        <f t="shared" si="0"/>
        <v>0</v>
      </c>
      <c r="G23" s="88">
        <v>0</v>
      </c>
      <c r="H23" s="88">
        <v>0</v>
      </c>
      <c r="I23" s="88">
        <v>0</v>
      </c>
      <c r="J23" s="88"/>
      <c r="K23" s="88">
        <f t="shared" si="8"/>
        <v>0</v>
      </c>
      <c r="L23" s="88">
        <f t="shared" si="1"/>
        <v>0</v>
      </c>
      <c r="M23" s="88">
        <f t="shared" si="9"/>
        <v>170000</v>
      </c>
      <c r="N23" s="88"/>
      <c r="O23" s="88">
        <f t="shared" si="2"/>
        <v>210000</v>
      </c>
      <c r="P23" s="88">
        <f t="shared" si="3"/>
        <v>0</v>
      </c>
      <c r="Q23" s="88"/>
      <c r="R23" s="199">
        <v>170000</v>
      </c>
      <c r="S23" s="88">
        <f t="shared" si="4"/>
        <v>170000</v>
      </c>
      <c r="T23" s="88">
        <f t="shared" si="5"/>
        <v>0</v>
      </c>
      <c r="U23" s="94">
        <f t="shared" si="6"/>
        <v>0</v>
      </c>
      <c r="V23" s="88"/>
      <c r="W23" s="88">
        <f t="shared" si="10"/>
        <v>0</v>
      </c>
      <c r="X23" s="88"/>
      <c r="Y23" s="84"/>
      <c r="Z23" s="228">
        <v>870000</v>
      </c>
    </row>
    <row r="24" spans="1:26" s="87" customFormat="1" x14ac:dyDescent="0.25">
      <c r="A24" s="84">
        <f t="shared" si="7"/>
        <v>18</v>
      </c>
      <c r="B24" s="84">
        <v>1971</v>
      </c>
      <c r="C24" s="84" t="s">
        <v>467</v>
      </c>
      <c r="D24" s="88">
        <v>2500000</v>
      </c>
      <c r="E24" s="88"/>
      <c r="F24" s="88">
        <f t="shared" si="0"/>
        <v>2500000</v>
      </c>
      <c r="G24" s="88">
        <v>0</v>
      </c>
      <c r="H24" s="88">
        <v>0</v>
      </c>
      <c r="I24" s="88">
        <v>0</v>
      </c>
      <c r="J24" s="88"/>
      <c r="K24" s="88">
        <f>SUM(I24:J24)</f>
        <v>0</v>
      </c>
      <c r="L24" s="88">
        <f t="shared" si="1"/>
        <v>0</v>
      </c>
      <c r="M24" s="88">
        <f t="shared" si="9"/>
        <v>0</v>
      </c>
      <c r="N24" s="88">
        <v>500000</v>
      </c>
      <c r="O24" s="88">
        <f t="shared" si="2"/>
        <v>2000000</v>
      </c>
      <c r="P24" s="88">
        <f t="shared" si="3"/>
        <v>0</v>
      </c>
      <c r="Q24" s="88"/>
      <c r="R24" s="88"/>
      <c r="S24" s="88">
        <f t="shared" si="4"/>
        <v>0</v>
      </c>
      <c r="T24" s="88">
        <f t="shared" si="5"/>
        <v>0</v>
      </c>
      <c r="U24" s="94">
        <f t="shared" si="6"/>
        <v>500000</v>
      </c>
      <c r="V24" s="88">
        <v>500000</v>
      </c>
      <c r="W24" s="88">
        <f t="shared" si="10"/>
        <v>0</v>
      </c>
      <c r="X24" s="88"/>
      <c r="Y24" s="84"/>
      <c r="Z24" s="228">
        <v>746000</v>
      </c>
    </row>
    <row r="25" spans="1:26" s="87" customFormat="1" x14ac:dyDescent="0.25">
      <c r="A25" s="84">
        <f t="shared" si="7"/>
        <v>19</v>
      </c>
      <c r="B25" s="84">
        <v>1972</v>
      </c>
      <c r="C25" s="84" t="s">
        <v>468</v>
      </c>
      <c r="D25" s="88">
        <v>4470000</v>
      </c>
      <c r="E25" s="88"/>
      <c r="F25" s="88">
        <f t="shared" si="0"/>
        <v>4470000</v>
      </c>
      <c r="G25" s="88">
        <v>0</v>
      </c>
      <c r="H25" s="88">
        <v>0</v>
      </c>
      <c r="I25" s="88"/>
      <c r="J25" s="88"/>
      <c r="K25" s="88">
        <f>SUM(I25:J25)</f>
        <v>0</v>
      </c>
      <c r="L25" s="88">
        <f t="shared" si="1"/>
        <v>0</v>
      </c>
      <c r="M25" s="88">
        <f t="shared" si="9"/>
        <v>0</v>
      </c>
      <c r="N25" s="88">
        <f>500000+2000000</f>
        <v>2500000</v>
      </c>
      <c r="O25" s="88">
        <f t="shared" si="2"/>
        <v>1970000</v>
      </c>
      <c r="P25" s="88">
        <f t="shared" si="3"/>
        <v>0</v>
      </c>
      <c r="Q25" s="88"/>
      <c r="R25" s="88"/>
      <c r="S25" s="88">
        <f t="shared" si="4"/>
        <v>0</v>
      </c>
      <c r="T25" s="88">
        <f t="shared" si="5"/>
        <v>0</v>
      </c>
      <c r="U25" s="94">
        <f t="shared" si="6"/>
        <v>2500000</v>
      </c>
      <c r="V25" s="88">
        <f>500000+2000000</f>
        <v>2500000</v>
      </c>
      <c r="W25" s="88">
        <f t="shared" si="10"/>
        <v>0</v>
      </c>
      <c r="X25" s="88"/>
      <c r="Y25" s="84"/>
      <c r="Z25" s="228">
        <v>746000</v>
      </c>
    </row>
    <row r="26" spans="1:26" s="87" customFormat="1" x14ac:dyDescent="0.25">
      <c r="A26" s="84">
        <f t="shared" si="7"/>
        <v>20</v>
      </c>
      <c r="B26" s="84">
        <v>1973</v>
      </c>
      <c r="C26" s="84" t="s">
        <v>469</v>
      </c>
      <c r="D26" s="88">
        <v>1800000</v>
      </c>
      <c r="E26" s="88"/>
      <c r="F26" s="88">
        <f>D26-E26</f>
        <v>1800000</v>
      </c>
      <c r="G26" s="88">
        <v>0</v>
      </c>
      <c r="H26" s="88">
        <v>0</v>
      </c>
      <c r="I26" s="88"/>
      <c r="J26" s="88"/>
      <c r="K26" s="88">
        <f>SUM(I26:J26)</f>
        <v>0</v>
      </c>
      <c r="L26" s="88">
        <f>H26+K26</f>
        <v>0</v>
      </c>
      <c r="M26" s="88">
        <f>P26+S26</f>
        <v>0</v>
      </c>
      <c r="N26" s="88">
        <v>600000</v>
      </c>
      <c r="O26" s="88">
        <f>D26-L26-M26-N26</f>
        <v>1200000</v>
      </c>
      <c r="P26" s="88">
        <f>G26-L26</f>
        <v>0</v>
      </c>
      <c r="Q26" s="88"/>
      <c r="R26" s="88"/>
      <c r="S26" s="88">
        <f>SUM(Q26:R26)</f>
        <v>0</v>
      </c>
      <c r="T26" s="88">
        <f>P26-M26+S26</f>
        <v>0</v>
      </c>
      <c r="U26" s="94">
        <f>N26-T26</f>
        <v>600000</v>
      </c>
      <c r="V26" s="88"/>
      <c r="W26" s="88">
        <f>U26-V26-X26-Y26</f>
        <v>600000</v>
      </c>
      <c r="X26" s="88"/>
      <c r="Y26" s="84"/>
      <c r="Z26" s="228">
        <v>742000</v>
      </c>
    </row>
    <row r="27" spans="1:26" s="87" customFormat="1" x14ac:dyDescent="0.25">
      <c r="A27" s="84">
        <f t="shared" si="7"/>
        <v>21</v>
      </c>
      <c r="B27" s="84">
        <v>1974</v>
      </c>
      <c r="C27" s="84" t="s">
        <v>677</v>
      </c>
      <c r="D27" s="88">
        <v>500000</v>
      </c>
      <c r="E27" s="88"/>
      <c r="F27" s="88">
        <f t="shared" si="0"/>
        <v>500000</v>
      </c>
      <c r="G27" s="88">
        <v>0</v>
      </c>
      <c r="H27" s="88">
        <v>0</v>
      </c>
      <c r="I27" s="88"/>
      <c r="J27" s="88"/>
      <c r="K27" s="88">
        <f>SUM(I27:J27)</f>
        <v>0</v>
      </c>
      <c r="L27" s="88">
        <f t="shared" si="1"/>
        <v>0</v>
      </c>
      <c r="M27" s="88">
        <f t="shared" si="9"/>
        <v>0</v>
      </c>
      <c r="N27" s="88">
        <v>500000</v>
      </c>
      <c r="O27" s="88">
        <f t="shared" si="2"/>
        <v>0</v>
      </c>
      <c r="P27" s="88">
        <f t="shared" si="3"/>
        <v>0</v>
      </c>
      <c r="Q27" s="88"/>
      <c r="R27" s="88"/>
      <c r="S27" s="88">
        <f t="shared" si="4"/>
        <v>0</v>
      </c>
      <c r="T27" s="88">
        <f t="shared" si="5"/>
        <v>0</v>
      </c>
      <c r="U27" s="94">
        <f t="shared" si="6"/>
        <v>500000</v>
      </c>
      <c r="V27" s="88">
        <v>500000</v>
      </c>
      <c r="W27" s="88">
        <f t="shared" si="10"/>
        <v>0</v>
      </c>
      <c r="X27" s="88"/>
      <c r="Y27" s="84"/>
      <c r="Z27" s="228">
        <v>746000</v>
      </c>
    </row>
    <row r="28" spans="1:26" s="120" customFormat="1" ht="15.6" x14ac:dyDescent="0.25">
      <c r="A28" s="28">
        <f>A27</f>
        <v>21</v>
      </c>
      <c r="B28" s="28" t="s">
        <v>102</v>
      </c>
      <c r="C28" s="28" t="s">
        <v>201</v>
      </c>
      <c r="D28" s="101">
        <f>SUM(D7:D27)</f>
        <v>121760000</v>
      </c>
      <c r="E28" s="101">
        <f t="shared" ref="E28:Y28" si="11">SUM(E7:E27)</f>
        <v>93922000</v>
      </c>
      <c r="F28" s="101">
        <f t="shared" si="11"/>
        <v>27838000</v>
      </c>
      <c r="G28" s="101">
        <f t="shared" si="11"/>
        <v>74690000</v>
      </c>
      <c r="H28" s="101">
        <f t="shared" si="11"/>
        <v>66801642.750000007</v>
      </c>
      <c r="I28" s="101">
        <f t="shared" si="11"/>
        <v>6438280.0999999987</v>
      </c>
      <c r="J28" s="101">
        <f t="shared" si="11"/>
        <v>0</v>
      </c>
      <c r="K28" s="101">
        <f t="shared" si="11"/>
        <v>6438280.0999999987</v>
      </c>
      <c r="L28" s="101">
        <f t="shared" si="11"/>
        <v>73239922.849999994</v>
      </c>
      <c r="M28" s="101">
        <f t="shared" si="11"/>
        <v>3170077.1500000018</v>
      </c>
      <c r="N28" s="101">
        <f t="shared" si="11"/>
        <v>14614320</v>
      </c>
      <c r="O28" s="101">
        <f t="shared" si="11"/>
        <v>30735680</v>
      </c>
      <c r="P28" s="101">
        <f t="shared" si="11"/>
        <v>1450077.1500000015</v>
      </c>
      <c r="Q28" s="101">
        <f t="shared" si="11"/>
        <v>1550000</v>
      </c>
      <c r="R28" s="101">
        <f t="shared" si="11"/>
        <v>170000</v>
      </c>
      <c r="S28" s="101">
        <f t="shared" si="11"/>
        <v>1720000</v>
      </c>
      <c r="T28" s="101">
        <f t="shared" si="11"/>
        <v>0</v>
      </c>
      <c r="U28" s="101">
        <f t="shared" si="11"/>
        <v>14614320</v>
      </c>
      <c r="V28" s="101">
        <f t="shared" si="11"/>
        <v>9820000</v>
      </c>
      <c r="W28" s="101">
        <f t="shared" si="11"/>
        <v>4720000</v>
      </c>
      <c r="X28" s="101">
        <f t="shared" si="11"/>
        <v>0</v>
      </c>
      <c r="Y28" s="101">
        <f t="shared" si="11"/>
        <v>74320</v>
      </c>
      <c r="Z28" s="101"/>
    </row>
    <row r="29" spans="1:26" s="120" customFormat="1" ht="15.6" x14ac:dyDescent="0.25">
      <c r="A29" s="28"/>
      <c r="B29" s="28"/>
      <c r="C29" s="28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210"/>
      <c r="V29" s="101"/>
      <c r="W29" s="101"/>
      <c r="X29" s="101"/>
      <c r="Y29" s="101"/>
      <c r="Z29" s="244"/>
    </row>
    <row r="30" spans="1:26" s="87" customFormat="1" ht="15.6" x14ac:dyDescent="0.25">
      <c r="A30" s="84"/>
      <c r="B30" s="84"/>
      <c r="C30" s="28" t="s">
        <v>225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>
        <f>P30-M30+R30</f>
        <v>0</v>
      </c>
      <c r="U30" s="94">
        <f t="shared" ref="U30:U68" si="12">N30-T30</f>
        <v>0</v>
      </c>
      <c r="V30" s="88"/>
      <c r="W30" s="88"/>
      <c r="X30" s="88"/>
      <c r="Y30" s="84"/>
      <c r="Z30" s="228"/>
    </row>
    <row r="31" spans="1:26" s="87" customFormat="1" x14ac:dyDescent="0.25">
      <c r="A31" s="84">
        <v>1</v>
      </c>
      <c r="B31" s="84">
        <v>1492</v>
      </c>
      <c r="C31" s="84" t="s">
        <v>148</v>
      </c>
      <c r="D31" s="88">
        <v>1763529</v>
      </c>
      <c r="E31" s="88">
        <v>1763529</v>
      </c>
      <c r="F31" s="88">
        <f t="shared" ref="F31:F52" si="13">D31-E31</f>
        <v>0</v>
      </c>
      <c r="G31" s="88">
        <v>1763529</v>
      </c>
      <c r="H31" s="88">
        <v>1752569.54</v>
      </c>
      <c r="I31" s="88"/>
      <c r="J31" s="88"/>
      <c r="K31" s="88">
        <f>SUM(I31:J31)</f>
        <v>0</v>
      </c>
      <c r="L31" s="88">
        <f t="shared" ref="L31:L53" si="14">H31+K31</f>
        <v>1752569.54</v>
      </c>
      <c r="M31" s="88">
        <f>P31+S31</f>
        <v>10959.459999999963</v>
      </c>
      <c r="N31" s="88"/>
      <c r="O31" s="88">
        <f t="shared" ref="O31:O53" si="15">D31-L31-M31-N31</f>
        <v>0</v>
      </c>
      <c r="P31" s="88">
        <f t="shared" ref="P31:P53" si="16">G31-L31</f>
        <v>10959.459999999963</v>
      </c>
      <c r="Q31" s="88"/>
      <c r="R31" s="88"/>
      <c r="S31" s="88">
        <f t="shared" ref="S31:S53" si="17">SUM(Q31:R31)</f>
        <v>0</v>
      </c>
      <c r="T31" s="88">
        <f t="shared" ref="T31:T53" si="18">P31-M31+S31</f>
        <v>0</v>
      </c>
      <c r="U31" s="94">
        <f t="shared" si="12"/>
        <v>0</v>
      </c>
      <c r="V31" s="88"/>
      <c r="W31" s="88">
        <f>U31-V31-X31-Y31</f>
        <v>0</v>
      </c>
      <c r="X31" s="88"/>
      <c r="Y31" s="84"/>
      <c r="Z31" s="228">
        <v>747000</v>
      </c>
    </row>
    <row r="32" spans="1:26" s="87" customFormat="1" x14ac:dyDescent="0.25">
      <c r="A32" s="84">
        <f>A31+1</f>
        <v>2</v>
      </c>
      <c r="B32" s="84">
        <v>1630</v>
      </c>
      <c r="C32" s="84" t="s">
        <v>149</v>
      </c>
      <c r="D32" s="88">
        <v>960000</v>
      </c>
      <c r="E32" s="88">
        <v>960000</v>
      </c>
      <c r="F32" s="88">
        <f t="shared" si="13"/>
        <v>0</v>
      </c>
      <c r="G32" s="88">
        <v>80000</v>
      </c>
      <c r="H32" s="88">
        <v>0</v>
      </c>
      <c r="I32" s="88">
        <v>60395</v>
      </c>
      <c r="J32" s="88"/>
      <c r="K32" s="88">
        <f t="shared" ref="K32:K40" si="19">SUM(I32:J32)</f>
        <v>60395</v>
      </c>
      <c r="L32" s="88">
        <f t="shared" si="14"/>
        <v>60395</v>
      </c>
      <c r="M32" s="88">
        <f t="shared" ref="M32:M39" si="20">P32+S32</f>
        <v>19605</v>
      </c>
      <c r="N32" s="88">
        <v>450000</v>
      </c>
      <c r="O32" s="88">
        <f t="shared" si="15"/>
        <v>430000</v>
      </c>
      <c r="P32" s="88">
        <f t="shared" si="16"/>
        <v>19605</v>
      </c>
      <c r="Q32" s="88"/>
      <c r="R32" s="88"/>
      <c r="S32" s="88">
        <f t="shared" si="17"/>
        <v>0</v>
      </c>
      <c r="T32" s="88">
        <f t="shared" si="18"/>
        <v>0</v>
      </c>
      <c r="U32" s="94">
        <f t="shared" si="12"/>
        <v>450000</v>
      </c>
      <c r="V32" s="88"/>
      <c r="W32" s="88">
        <f t="shared" ref="W32:W39" si="21">U32-V32-X32-Y32</f>
        <v>450000</v>
      </c>
      <c r="X32" s="88"/>
      <c r="Y32" s="84"/>
      <c r="Z32" s="228">
        <v>747000</v>
      </c>
    </row>
    <row r="33" spans="1:26" s="87" customFormat="1" x14ac:dyDescent="0.25">
      <c r="A33" s="84">
        <f t="shared" ref="A33:A52" si="22">A32+1</f>
        <v>3</v>
      </c>
      <c r="B33" s="84">
        <v>1634</v>
      </c>
      <c r="C33" s="84" t="s">
        <v>150</v>
      </c>
      <c r="D33" s="88">
        <v>50000</v>
      </c>
      <c r="E33" s="88">
        <v>50000</v>
      </c>
      <c r="F33" s="88">
        <f t="shared" si="13"/>
        <v>0</v>
      </c>
      <c r="G33" s="88">
        <v>50000</v>
      </c>
      <c r="H33" s="88">
        <v>36036</v>
      </c>
      <c r="I33" s="88"/>
      <c r="J33" s="88"/>
      <c r="K33" s="88">
        <f t="shared" si="19"/>
        <v>0</v>
      </c>
      <c r="L33" s="88">
        <f t="shared" si="14"/>
        <v>36036</v>
      </c>
      <c r="M33" s="88">
        <f t="shared" si="20"/>
        <v>13964</v>
      </c>
      <c r="N33" s="88"/>
      <c r="O33" s="88">
        <f t="shared" si="15"/>
        <v>0</v>
      </c>
      <c r="P33" s="88">
        <f t="shared" si="16"/>
        <v>13964</v>
      </c>
      <c r="Q33" s="88"/>
      <c r="R33" s="88"/>
      <c r="S33" s="88">
        <f t="shared" si="17"/>
        <v>0</v>
      </c>
      <c r="T33" s="88">
        <f t="shared" si="18"/>
        <v>0</v>
      </c>
      <c r="U33" s="94">
        <f t="shared" si="12"/>
        <v>0</v>
      </c>
      <c r="V33" s="88"/>
      <c r="W33" s="88">
        <f t="shared" si="21"/>
        <v>0</v>
      </c>
      <c r="X33" s="88"/>
      <c r="Y33" s="84"/>
      <c r="Z33" s="228">
        <v>747000</v>
      </c>
    </row>
    <row r="34" spans="1:26" s="87" customFormat="1" x14ac:dyDescent="0.25">
      <c r="A34" s="84">
        <f t="shared" si="22"/>
        <v>4</v>
      </c>
      <c r="B34" s="84">
        <v>1683</v>
      </c>
      <c r="C34" s="84" t="s">
        <v>151</v>
      </c>
      <c r="D34" s="88">
        <v>2300000</v>
      </c>
      <c r="E34" s="88">
        <v>2300000</v>
      </c>
      <c r="F34" s="88">
        <f t="shared" si="13"/>
        <v>0</v>
      </c>
      <c r="G34" s="88">
        <v>2300000</v>
      </c>
      <c r="H34" s="88">
        <v>2120905.9300000002</v>
      </c>
      <c r="I34" s="88">
        <v>168570.8</v>
      </c>
      <c r="J34" s="88"/>
      <c r="K34" s="88">
        <f t="shared" si="19"/>
        <v>168570.8</v>
      </c>
      <c r="L34" s="88">
        <f t="shared" si="14"/>
        <v>2289476.73</v>
      </c>
      <c r="M34" s="88">
        <f t="shared" si="20"/>
        <v>10523.270000000019</v>
      </c>
      <c r="N34" s="88"/>
      <c r="O34" s="88">
        <f t="shared" si="15"/>
        <v>0</v>
      </c>
      <c r="P34" s="88">
        <f t="shared" si="16"/>
        <v>10523.270000000019</v>
      </c>
      <c r="Q34" s="88"/>
      <c r="R34" s="88"/>
      <c r="S34" s="88">
        <f t="shared" si="17"/>
        <v>0</v>
      </c>
      <c r="T34" s="88">
        <f t="shared" si="18"/>
        <v>0</v>
      </c>
      <c r="U34" s="94">
        <f t="shared" si="12"/>
        <v>0</v>
      </c>
      <c r="V34" s="88"/>
      <c r="W34" s="88">
        <f t="shared" si="21"/>
        <v>0</v>
      </c>
      <c r="X34" s="88"/>
      <c r="Y34" s="84"/>
      <c r="Z34" s="228">
        <v>747000</v>
      </c>
    </row>
    <row r="35" spans="1:26" s="87" customFormat="1" x14ac:dyDescent="0.25">
      <c r="A35" s="84">
        <f t="shared" si="22"/>
        <v>5</v>
      </c>
      <c r="B35" s="84">
        <v>1684</v>
      </c>
      <c r="C35" s="84" t="s">
        <v>152</v>
      </c>
      <c r="D35" s="88">
        <v>400000</v>
      </c>
      <c r="E35" s="88">
        <v>300000</v>
      </c>
      <c r="F35" s="88">
        <f t="shared" si="13"/>
        <v>100000</v>
      </c>
      <c r="G35" s="88">
        <v>200000</v>
      </c>
      <c r="H35" s="88">
        <v>149999.82</v>
      </c>
      <c r="I35" s="88">
        <v>49438.63</v>
      </c>
      <c r="J35" s="88"/>
      <c r="K35" s="88">
        <f t="shared" si="19"/>
        <v>49438.63</v>
      </c>
      <c r="L35" s="88">
        <f t="shared" si="14"/>
        <v>199438.45</v>
      </c>
      <c r="M35" s="88">
        <f t="shared" si="20"/>
        <v>561.54999999998836</v>
      </c>
      <c r="N35" s="88"/>
      <c r="O35" s="88">
        <f t="shared" si="15"/>
        <v>200000</v>
      </c>
      <c r="P35" s="88">
        <f t="shared" si="16"/>
        <v>561.54999999998836</v>
      </c>
      <c r="Q35" s="88"/>
      <c r="R35" s="88"/>
      <c r="S35" s="88">
        <f t="shared" si="17"/>
        <v>0</v>
      </c>
      <c r="T35" s="88">
        <f t="shared" si="18"/>
        <v>0</v>
      </c>
      <c r="U35" s="94">
        <f t="shared" si="12"/>
        <v>0</v>
      </c>
      <c r="V35" s="88"/>
      <c r="W35" s="88">
        <f t="shared" si="21"/>
        <v>0</v>
      </c>
      <c r="X35" s="88"/>
      <c r="Y35" s="84"/>
      <c r="Z35" s="228">
        <v>747000</v>
      </c>
    </row>
    <row r="36" spans="1:26" s="87" customFormat="1" x14ac:dyDescent="0.25">
      <c r="A36" s="84">
        <f t="shared" si="22"/>
        <v>6</v>
      </c>
      <c r="B36" s="84">
        <v>1700</v>
      </c>
      <c r="C36" s="84" t="s">
        <v>560</v>
      </c>
      <c r="D36" s="88">
        <v>72000</v>
      </c>
      <c r="E36" s="88">
        <v>72000</v>
      </c>
      <c r="F36" s="88">
        <f t="shared" si="13"/>
        <v>0</v>
      </c>
      <c r="G36" s="88">
        <v>72000</v>
      </c>
      <c r="H36" s="88">
        <v>56971</v>
      </c>
      <c r="I36" s="88"/>
      <c r="J36" s="88"/>
      <c r="K36" s="88">
        <f t="shared" si="19"/>
        <v>0</v>
      </c>
      <c r="L36" s="88">
        <f t="shared" si="14"/>
        <v>56971</v>
      </c>
      <c r="M36" s="88">
        <f t="shared" si="20"/>
        <v>15029</v>
      </c>
      <c r="N36" s="88"/>
      <c r="O36" s="88">
        <f t="shared" si="15"/>
        <v>0</v>
      </c>
      <c r="P36" s="88">
        <f t="shared" si="16"/>
        <v>15029</v>
      </c>
      <c r="Q36" s="88"/>
      <c r="R36" s="88"/>
      <c r="S36" s="88">
        <f t="shared" si="17"/>
        <v>0</v>
      </c>
      <c r="T36" s="88">
        <f t="shared" si="18"/>
        <v>0</v>
      </c>
      <c r="U36" s="94">
        <f t="shared" si="12"/>
        <v>0</v>
      </c>
      <c r="V36" s="88"/>
      <c r="W36" s="88">
        <f t="shared" si="21"/>
        <v>0</v>
      </c>
      <c r="X36" s="88"/>
      <c r="Y36" s="84"/>
      <c r="Z36" s="228">
        <v>747000</v>
      </c>
    </row>
    <row r="37" spans="1:26" s="87" customFormat="1" x14ac:dyDescent="0.25">
      <c r="A37" s="84">
        <f t="shared" si="22"/>
        <v>7</v>
      </c>
      <c r="B37" s="84">
        <v>1780</v>
      </c>
      <c r="C37" s="84" t="s">
        <v>153</v>
      </c>
      <c r="D37" s="88">
        <v>70000</v>
      </c>
      <c r="E37" s="88">
        <v>70000</v>
      </c>
      <c r="F37" s="88">
        <f t="shared" si="13"/>
        <v>0</v>
      </c>
      <c r="G37" s="88">
        <v>70000</v>
      </c>
      <c r="H37" s="88">
        <v>70000</v>
      </c>
      <c r="I37" s="88"/>
      <c r="J37" s="88"/>
      <c r="K37" s="88">
        <f t="shared" si="19"/>
        <v>0</v>
      </c>
      <c r="L37" s="88">
        <f t="shared" si="14"/>
        <v>70000</v>
      </c>
      <c r="M37" s="88">
        <f t="shared" si="20"/>
        <v>0</v>
      </c>
      <c r="N37" s="88"/>
      <c r="O37" s="88">
        <f t="shared" si="15"/>
        <v>0</v>
      </c>
      <c r="P37" s="88">
        <f t="shared" si="16"/>
        <v>0</v>
      </c>
      <c r="Q37" s="88"/>
      <c r="R37" s="88"/>
      <c r="S37" s="88">
        <f t="shared" si="17"/>
        <v>0</v>
      </c>
      <c r="T37" s="88">
        <f t="shared" si="18"/>
        <v>0</v>
      </c>
      <c r="U37" s="94">
        <f t="shared" si="12"/>
        <v>0</v>
      </c>
      <c r="V37" s="88"/>
      <c r="W37" s="88">
        <f t="shared" si="21"/>
        <v>0</v>
      </c>
      <c r="X37" s="88"/>
      <c r="Y37" s="84"/>
      <c r="Z37" s="228">
        <v>747000</v>
      </c>
    </row>
    <row r="38" spans="1:26" s="87" customFormat="1" x14ac:dyDescent="0.25">
      <c r="A38" s="84">
        <f t="shared" si="22"/>
        <v>8</v>
      </c>
      <c r="B38" s="84">
        <v>1781</v>
      </c>
      <c r="C38" s="84" t="s">
        <v>389</v>
      </c>
      <c r="D38" s="88">
        <v>160000</v>
      </c>
      <c r="E38" s="88">
        <v>160000</v>
      </c>
      <c r="F38" s="88">
        <f t="shared" si="13"/>
        <v>0</v>
      </c>
      <c r="G38" s="88">
        <v>160000</v>
      </c>
      <c r="H38" s="88">
        <v>160000</v>
      </c>
      <c r="I38" s="88"/>
      <c r="J38" s="88"/>
      <c r="K38" s="88">
        <f t="shared" si="19"/>
        <v>0</v>
      </c>
      <c r="L38" s="88">
        <f t="shared" si="14"/>
        <v>160000</v>
      </c>
      <c r="M38" s="88">
        <f t="shared" si="20"/>
        <v>0</v>
      </c>
      <c r="N38" s="88"/>
      <c r="O38" s="88">
        <f t="shared" si="15"/>
        <v>0</v>
      </c>
      <c r="P38" s="88">
        <f t="shared" si="16"/>
        <v>0</v>
      </c>
      <c r="Q38" s="88"/>
      <c r="R38" s="88"/>
      <c r="S38" s="88">
        <f t="shared" si="17"/>
        <v>0</v>
      </c>
      <c r="T38" s="88">
        <f t="shared" si="18"/>
        <v>0</v>
      </c>
      <c r="U38" s="94">
        <f t="shared" si="12"/>
        <v>0</v>
      </c>
      <c r="V38" s="88"/>
      <c r="W38" s="88">
        <f t="shared" si="21"/>
        <v>0</v>
      </c>
      <c r="X38" s="88"/>
      <c r="Y38" s="84"/>
      <c r="Z38" s="228">
        <v>747000</v>
      </c>
    </row>
    <row r="39" spans="1:26" s="87" customFormat="1" x14ac:dyDescent="0.25">
      <c r="A39" s="84">
        <f t="shared" si="22"/>
        <v>9</v>
      </c>
      <c r="B39" s="84">
        <v>1782</v>
      </c>
      <c r="C39" s="84" t="s">
        <v>154</v>
      </c>
      <c r="D39" s="88">
        <v>85000</v>
      </c>
      <c r="E39" s="88">
        <v>85000</v>
      </c>
      <c r="F39" s="88">
        <f t="shared" si="13"/>
        <v>0</v>
      </c>
      <c r="G39" s="88">
        <v>85000</v>
      </c>
      <c r="H39" s="88">
        <v>63962</v>
      </c>
      <c r="I39" s="88">
        <v>21038</v>
      </c>
      <c r="J39" s="88"/>
      <c r="K39" s="88">
        <f t="shared" si="19"/>
        <v>21038</v>
      </c>
      <c r="L39" s="88">
        <f t="shared" si="14"/>
        <v>85000</v>
      </c>
      <c r="M39" s="88">
        <f t="shared" si="20"/>
        <v>0</v>
      </c>
      <c r="N39" s="88"/>
      <c r="O39" s="88">
        <f t="shared" si="15"/>
        <v>0</v>
      </c>
      <c r="P39" s="88">
        <f t="shared" si="16"/>
        <v>0</v>
      </c>
      <c r="Q39" s="88"/>
      <c r="R39" s="88"/>
      <c r="S39" s="88">
        <f t="shared" si="17"/>
        <v>0</v>
      </c>
      <c r="T39" s="88">
        <f t="shared" si="18"/>
        <v>0</v>
      </c>
      <c r="U39" s="94">
        <f t="shared" si="12"/>
        <v>0</v>
      </c>
      <c r="V39" s="88"/>
      <c r="W39" s="88">
        <f t="shared" si="21"/>
        <v>0</v>
      </c>
      <c r="X39" s="88"/>
      <c r="Y39" s="84"/>
      <c r="Z39" s="228">
        <v>747000</v>
      </c>
    </row>
    <row r="40" spans="1:26" s="87" customFormat="1" x14ac:dyDescent="0.25">
      <c r="A40" s="84">
        <f t="shared" si="22"/>
        <v>10</v>
      </c>
      <c r="B40" s="84">
        <v>1783</v>
      </c>
      <c r="C40" s="84" t="s">
        <v>390</v>
      </c>
      <c r="D40" s="88">
        <v>127000</v>
      </c>
      <c r="E40" s="88">
        <v>127000</v>
      </c>
      <c r="F40" s="88">
        <f t="shared" si="13"/>
        <v>0</v>
      </c>
      <c r="G40" s="88">
        <v>127000</v>
      </c>
      <c r="H40" s="88">
        <v>116947.8</v>
      </c>
      <c r="I40" s="88"/>
      <c r="J40" s="88"/>
      <c r="K40" s="88">
        <f t="shared" si="19"/>
        <v>0</v>
      </c>
      <c r="L40" s="88">
        <f t="shared" si="14"/>
        <v>116947.8</v>
      </c>
      <c r="M40" s="88">
        <f>P40+S40</f>
        <v>10052.199999999997</v>
      </c>
      <c r="N40" s="88"/>
      <c r="O40" s="88">
        <f t="shared" si="15"/>
        <v>0</v>
      </c>
      <c r="P40" s="88">
        <f t="shared" si="16"/>
        <v>10052.199999999997</v>
      </c>
      <c r="Q40" s="88"/>
      <c r="R40" s="88"/>
      <c r="S40" s="88">
        <f t="shared" si="17"/>
        <v>0</v>
      </c>
      <c r="T40" s="88">
        <f t="shared" si="18"/>
        <v>0</v>
      </c>
      <c r="U40" s="94">
        <f t="shared" si="12"/>
        <v>0</v>
      </c>
      <c r="V40" s="88"/>
      <c r="W40" s="88">
        <f>U40-V40-X40-Y40</f>
        <v>0</v>
      </c>
      <c r="X40" s="88"/>
      <c r="Y40" s="84"/>
      <c r="Z40" s="228">
        <v>747000</v>
      </c>
    </row>
    <row r="41" spans="1:26" s="87" customFormat="1" x14ac:dyDescent="0.25">
      <c r="A41" s="84">
        <f t="shared" si="22"/>
        <v>11</v>
      </c>
      <c r="B41" s="84">
        <v>1862</v>
      </c>
      <c r="C41" s="84" t="s">
        <v>391</v>
      </c>
      <c r="D41" s="88">
        <f>3000000-800000</f>
        <v>2200000</v>
      </c>
      <c r="E41" s="88">
        <v>3000000</v>
      </c>
      <c r="F41" s="88">
        <f t="shared" si="13"/>
        <v>-800000</v>
      </c>
      <c r="G41" s="88">
        <v>1000000</v>
      </c>
      <c r="H41" s="88">
        <v>465311.18</v>
      </c>
      <c r="I41" s="88">
        <v>414789.56</v>
      </c>
      <c r="J41" s="88">
        <v>0.2</v>
      </c>
      <c r="K41" s="88">
        <f t="shared" ref="K41:K53" si="23">SUM(I41:J41)</f>
        <v>414789.76</v>
      </c>
      <c r="L41" s="88">
        <f t="shared" si="14"/>
        <v>880100.94</v>
      </c>
      <c r="M41" s="88">
        <f t="shared" ref="M41:M47" si="24">P41+S41</f>
        <v>119899.06000000006</v>
      </c>
      <c r="N41" s="88">
        <v>1200000</v>
      </c>
      <c r="O41" s="88">
        <f t="shared" si="15"/>
        <v>0</v>
      </c>
      <c r="P41" s="88">
        <f t="shared" si="16"/>
        <v>119899.06000000006</v>
      </c>
      <c r="Q41" s="88"/>
      <c r="R41" s="88"/>
      <c r="S41" s="88">
        <f t="shared" si="17"/>
        <v>0</v>
      </c>
      <c r="T41" s="88">
        <f t="shared" si="18"/>
        <v>0</v>
      </c>
      <c r="U41" s="94">
        <f t="shared" si="12"/>
        <v>1200000</v>
      </c>
      <c r="V41" s="88"/>
      <c r="W41" s="88">
        <f t="shared" ref="W41:W47" si="25">U41-V41-X41-Y41</f>
        <v>1200000</v>
      </c>
      <c r="X41" s="88"/>
      <c r="Y41" s="84"/>
      <c r="Z41" s="228">
        <v>747000</v>
      </c>
    </row>
    <row r="42" spans="1:26" s="87" customFormat="1" x14ac:dyDescent="0.25">
      <c r="A42" s="84">
        <f t="shared" si="22"/>
        <v>12</v>
      </c>
      <c r="B42" s="84">
        <v>1863</v>
      </c>
      <c r="C42" s="84" t="s">
        <v>392</v>
      </c>
      <c r="D42" s="88">
        <v>70000</v>
      </c>
      <c r="E42" s="88">
        <v>70000</v>
      </c>
      <c r="F42" s="88">
        <f t="shared" si="13"/>
        <v>0</v>
      </c>
      <c r="G42" s="88">
        <v>70000</v>
      </c>
      <c r="H42" s="88">
        <v>0</v>
      </c>
      <c r="I42" s="88">
        <v>59286.5</v>
      </c>
      <c r="J42" s="88"/>
      <c r="K42" s="88">
        <f t="shared" si="23"/>
        <v>59286.5</v>
      </c>
      <c r="L42" s="88">
        <f t="shared" si="14"/>
        <v>59286.5</v>
      </c>
      <c r="M42" s="88">
        <f t="shared" si="24"/>
        <v>10713.5</v>
      </c>
      <c r="N42" s="88"/>
      <c r="O42" s="88">
        <f t="shared" si="15"/>
        <v>0</v>
      </c>
      <c r="P42" s="88">
        <f t="shared" si="16"/>
        <v>10713.5</v>
      </c>
      <c r="Q42" s="88"/>
      <c r="R42" s="88"/>
      <c r="S42" s="88">
        <f t="shared" si="17"/>
        <v>0</v>
      </c>
      <c r="T42" s="88">
        <f t="shared" si="18"/>
        <v>0</v>
      </c>
      <c r="U42" s="94">
        <f t="shared" si="12"/>
        <v>0</v>
      </c>
      <c r="V42" s="88"/>
      <c r="W42" s="88">
        <f t="shared" si="25"/>
        <v>0</v>
      </c>
      <c r="X42" s="88"/>
      <c r="Y42" s="84"/>
      <c r="Z42" s="228">
        <v>747000</v>
      </c>
    </row>
    <row r="43" spans="1:26" s="87" customFormat="1" x14ac:dyDescent="0.25">
      <c r="A43" s="84">
        <f t="shared" si="22"/>
        <v>13</v>
      </c>
      <c r="B43" s="84">
        <v>1864</v>
      </c>
      <c r="C43" s="84" t="s">
        <v>393</v>
      </c>
      <c r="D43" s="88">
        <v>1500000</v>
      </c>
      <c r="E43" s="88">
        <v>1500000</v>
      </c>
      <c r="F43" s="88">
        <f t="shared" si="13"/>
        <v>0</v>
      </c>
      <c r="G43" s="88">
        <v>100000</v>
      </c>
      <c r="H43" s="88">
        <v>0</v>
      </c>
      <c r="I43" s="88">
        <v>57304.54</v>
      </c>
      <c r="J43" s="88"/>
      <c r="K43" s="88">
        <f t="shared" si="23"/>
        <v>57304.54</v>
      </c>
      <c r="L43" s="88">
        <f t="shared" si="14"/>
        <v>57304.54</v>
      </c>
      <c r="M43" s="88">
        <f t="shared" si="24"/>
        <v>42695.46</v>
      </c>
      <c r="N43" s="88"/>
      <c r="O43" s="88">
        <f t="shared" si="15"/>
        <v>1400000</v>
      </c>
      <c r="P43" s="88">
        <f t="shared" si="16"/>
        <v>42695.46</v>
      </c>
      <c r="Q43" s="88"/>
      <c r="R43" s="88"/>
      <c r="S43" s="88">
        <f t="shared" si="17"/>
        <v>0</v>
      </c>
      <c r="T43" s="88">
        <f t="shared" si="18"/>
        <v>0</v>
      </c>
      <c r="U43" s="94">
        <f t="shared" si="12"/>
        <v>0</v>
      </c>
      <c r="V43" s="88"/>
      <c r="W43" s="88">
        <f t="shared" si="25"/>
        <v>0</v>
      </c>
      <c r="X43" s="88"/>
      <c r="Y43" s="84"/>
      <c r="Z43" s="228">
        <v>747000</v>
      </c>
    </row>
    <row r="44" spans="1:26" s="87" customFormat="1" x14ac:dyDescent="0.25">
      <c r="A44" s="84">
        <f t="shared" si="22"/>
        <v>14</v>
      </c>
      <c r="B44" s="84">
        <v>1865</v>
      </c>
      <c r="C44" s="84" t="s">
        <v>394</v>
      </c>
      <c r="D44" s="88">
        <v>600000</v>
      </c>
      <c r="E44" s="88">
        <v>600000</v>
      </c>
      <c r="F44" s="88">
        <f t="shared" si="13"/>
        <v>0</v>
      </c>
      <c r="G44" s="88">
        <v>600000</v>
      </c>
      <c r="H44" s="88">
        <v>2918.8</v>
      </c>
      <c r="I44" s="88">
        <v>442455</v>
      </c>
      <c r="J44" s="88"/>
      <c r="K44" s="88">
        <f t="shared" si="23"/>
        <v>442455</v>
      </c>
      <c r="L44" s="88">
        <f t="shared" si="14"/>
        <v>445373.8</v>
      </c>
      <c r="M44" s="88">
        <f t="shared" si="24"/>
        <v>154626.20000000001</v>
      </c>
      <c r="N44" s="88"/>
      <c r="O44" s="88">
        <f t="shared" si="15"/>
        <v>0</v>
      </c>
      <c r="P44" s="88">
        <f t="shared" si="16"/>
        <v>154626.20000000001</v>
      </c>
      <c r="Q44" s="88"/>
      <c r="R44" s="88"/>
      <c r="S44" s="88">
        <f t="shared" si="17"/>
        <v>0</v>
      </c>
      <c r="T44" s="88">
        <f t="shared" si="18"/>
        <v>0</v>
      </c>
      <c r="U44" s="94">
        <f t="shared" si="12"/>
        <v>0</v>
      </c>
      <c r="V44" s="88"/>
      <c r="W44" s="88">
        <f t="shared" si="25"/>
        <v>0</v>
      </c>
      <c r="X44" s="88"/>
      <c r="Y44" s="84"/>
      <c r="Z44" s="228">
        <v>747000</v>
      </c>
    </row>
    <row r="45" spans="1:26" s="87" customFormat="1" x14ac:dyDescent="0.25">
      <c r="A45" s="84">
        <f t="shared" si="22"/>
        <v>15</v>
      </c>
      <c r="B45" s="84">
        <v>1876</v>
      </c>
      <c r="C45" s="84" t="s">
        <v>395</v>
      </c>
      <c r="D45" s="88">
        <v>30000</v>
      </c>
      <c r="E45" s="88">
        <v>30000</v>
      </c>
      <c r="F45" s="88">
        <f t="shared" si="13"/>
        <v>0</v>
      </c>
      <c r="G45" s="88">
        <v>30000</v>
      </c>
      <c r="H45" s="88">
        <v>29999.97</v>
      </c>
      <c r="I45" s="88"/>
      <c r="J45" s="88"/>
      <c r="K45" s="88">
        <f t="shared" si="23"/>
        <v>0</v>
      </c>
      <c r="L45" s="88">
        <f t="shared" si="14"/>
        <v>29999.97</v>
      </c>
      <c r="M45" s="88">
        <f t="shared" si="24"/>
        <v>2.9999999998835847E-2</v>
      </c>
      <c r="N45" s="88"/>
      <c r="O45" s="88">
        <f t="shared" si="15"/>
        <v>0</v>
      </c>
      <c r="P45" s="88">
        <f t="shared" si="16"/>
        <v>2.9999999998835847E-2</v>
      </c>
      <c r="Q45" s="88"/>
      <c r="R45" s="88"/>
      <c r="S45" s="88">
        <f t="shared" si="17"/>
        <v>0</v>
      </c>
      <c r="T45" s="88">
        <f t="shared" si="18"/>
        <v>0</v>
      </c>
      <c r="U45" s="94">
        <f t="shared" si="12"/>
        <v>0</v>
      </c>
      <c r="V45" s="88"/>
      <c r="W45" s="88">
        <f t="shared" si="25"/>
        <v>0</v>
      </c>
      <c r="X45" s="88"/>
      <c r="Y45" s="84"/>
      <c r="Z45" s="228">
        <v>747000</v>
      </c>
    </row>
    <row r="46" spans="1:26" s="87" customFormat="1" x14ac:dyDescent="0.25">
      <c r="A46" s="84">
        <f t="shared" si="22"/>
        <v>16</v>
      </c>
      <c r="B46" s="84">
        <v>1877</v>
      </c>
      <c r="C46" s="84" t="s">
        <v>396</v>
      </c>
      <c r="D46" s="88">
        <v>85000</v>
      </c>
      <c r="E46" s="88">
        <v>85000</v>
      </c>
      <c r="F46" s="88">
        <f t="shared" si="13"/>
        <v>0</v>
      </c>
      <c r="G46" s="88">
        <v>85000</v>
      </c>
      <c r="H46" s="88">
        <v>75703</v>
      </c>
      <c r="I46" s="88"/>
      <c r="J46" s="88"/>
      <c r="K46" s="88">
        <f t="shared" si="23"/>
        <v>0</v>
      </c>
      <c r="L46" s="88">
        <f t="shared" si="14"/>
        <v>75703</v>
      </c>
      <c r="M46" s="88">
        <f t="shared" si="24"/>
        <v>9297</v>
      </c>
      <c r="N46" s="88"/>
      <c r="O46" s="88">
        <f t="shared" si="15"/>
        <v>0</v>
      </c>
      <c r="P46" s="88">
        <f t="shared" si="16"/>
        <v>9297</v>
      </c>
      <c r="Q46" s="88"/>
      <c r="R46" s="88"/>
      <c r="S46" s="88">
        <f t="shared" si="17"/>
        <v>0</v>
      </c>
      <c r="T46" s="88">
        <f t="shared" si="18"/>
        <v>0</v>
      </c>
      <c r="U46" s="94">
        <f t="shared" si="12"/>
        <v>0</v>
      </c>
      <c r="V46" s="88"/>
      <c r="W46" s="88">
        <f t="shared" si="25"/>
        <v>0</v>
      </c>
      <c r="X46" s="88"/>
      <c r="Y46" s="84"/>
      <c r="Z46" s="228">
        <v>747000</v>
      </c>
    </row>
    <row r="47" spans="1:26" s="87" customFormat="1" x14ac:dyDescent="0.25">
      <c r="A47" s="84">
        <f t="shared" si="22"/>
        <v>17</v>
      </c>
      <c r="B47" s="84">
        <v>1878</v>
      </c>
      <c r="C47" s="84" t="s">
        <v>397</v>
      </c>
      <c r="D47" s="88">
        <v>20000</v>
      </c>
      <c r="E47" s="88">
        <v>20000</v>
      </c>
      <c r="F47" s="88">
        <f t="shared" si="13"/>
        <v>0</v>
      </c>
      <c r="G47" s="88">
        <v>20000</v>
      </c>
      <c r="H47" s="88">
        <v>19999.990000000002</v>
      </c>
      <c r="I47" s="88"/>
      <c r="J47" s="88"/>
      <c r="K47" s="88">
        <f t="shared" si="23"/>
        <v>0</v>
      </c>
      <c r="L47" s="88">
        <f t="shared" si="14"/>
        <v>19999.990000000002</v>
      </c>
      <c r="M47" s="88">
        <f t="shared" si="24"/>
        <v>9.9999999983992893E-3</v>
      </c>
      <c r="N47" s="88"/>
      <c r="O47" s="88">
        <f t="shared" si="15"/>
        <v>0</v>
      </c>
      <c r="P47" s="88">
        <f t="shared" si="16"/>
        <v>9.9999999983992893E-3</v>
      </c>
      <c r="Q47" s="88"/>
      <c r="R47" s="88"/>
      <c r="S47" s="88">
        <f t="shared" si="17"/>
        <v>0</v>
      </c>
      <c r="T47" s="88">
        <f t="shared" si="18"/>
        <v>0</v>
      </c>
      <c r="U47" s="94">
        <f t="shared" si="12"/>
        <v>0</v>
      </c>
      <c r="V47" s="88"/>
      <c r="W47" s="88">
        <f t="shared" si="25"/>
        <v>0</v>
      </c>
      <c r="X47" s="88"/>
      <c r="Y47" s="84"/>
      <c r="Z47" s="228">
        <v>747000</v>
      </c>
    </row>
    <row r="48" spans="1:26" s="87" customFormat="1" x14ac:dyDescent="0.25">
      <c r="A48" s="84">
        <f t="shared" si="22"/>
        <v>18</v>
      </c>
      <c r="B48" s="84">
        <v>1879</v>
      </c>
      <c r="C48" s="84" t="s">
        <v>398</v>
      </c>
      <c r="D48" s="88">
        <v>48000</v>
      </c>
      <c r="E48" s="88">
        <v>48000</v>
      </c>
      <c r="F48" s="88">
        <f t="shared" si="13"/>
        <v>0</v>
      </c>
      <c r="G48" s="88">
        <v>48000</v>
      </c>
      <c r="H48" s="88">
        <v>20576.37</v>
      </c>
      <c r="I48" s="88"/>
      <c r="J48" s="88"/>
      <c r="K48" s="88">
        <f t="shared" si="23"/>
        <v>0</v>
      </c>
      <c r="L48" s="88">
        <f t="shared" si="14"/>
        <v>20576.37</v>
      </c>
      <c r="M48" s="88">
        <f t="shared" ref="M48:M53" si="26">P48+S48</f>
        <v>27423.63</v>
      </c>
      <c r="N48" s="88"/>
      <c r="O48" s="88">
        <f t="shared" si="15"/>
        <v>0</v>
      </c>
      <c r="P48" s="88">
        <f t="shared" si="16"/>
        <v>27423.63</v>
      </c>
      <c r="Q48" s="88"/>
      <c r="R48" s="88"/>
      <c r="S48" s="88">
        <f t="shared" si="17"/>
        <v>0</v>
      </c>
      <c r="T48" s="88">
        <f t="shared" si="18"/>
        <v>0</v>
      </c>
      <c r="U48" s="94">
        <f t="shared" si="12"/>
        <v>0</v>
      </c>
      <c r="V48" s="88"/>
      <c r="W48" s="88">
        <f t="shared" ref="W48:W53" si="27">U48-V48-X48-Y48</f>
        <v>0</v>
      </c>
      <c r="X48" s="88"/>
      <c r="Y48" s="84"/>
      <c r="Z48" s="228">
        <v>747000</v>
      </c>
    </row>
    <row r="49" spans="1:26" s="87" customFormat="1" x14ac:dyDescent="0.25">
      <c r="A49" s="84">
        <f t="shared" si="22"/>
        <v>19</v>
      </c>
      <c r="B49" s="84">
        <v>1880</v>
      </c>
      <c r="C49" s="84" t="s">
        <v>399</v>
      </c>
      <c r="D49" s="88">
        <v>85000</v>
      </c>
      <c r="E49" s="88">
        <v>85000</v>
      </c>
      <c r="F49" s="88">
        <f t="shared" si="13"/>
        <v>0</v>
      </c>
      <c r="G49" s="88">
        <v>85000</v>
      </c>
      <c r="H49" s="88">
        <v>0</v>
      </c>
      <c r="I49" s="88">
        <v>85000</v>
      </c>
      <c r="J49" s="88"/>
      <c r="K49" s="88">
        <f t="shared" si="23"/>
        <v>85000</v>
      </c>
      <c r="L49" s="88">
        <f t="shared" si="14"/>
        <v>85000</v>
      </c>
      <c r="M49" s="88">
        <f t="shared" si="26"/>
        <v>0</v>
      </c>
      <c r="N49" s="88"/>
      <c r="O49" s="88">
        <f t="shared" si="15"/>
        <v>0</v>
      </c>
      <c r="P49" s="88">
        <f t="shared" si="16"/>
        <v>0</v>
      </c>
      <c r="Q49" s="88"/>
      <c r="R49" s="88"/>
      <c r="S49" s="88">
        <f t="shared" si="17"/>
        <v>0</v>
      </c>
      <c r="T49" s="88">
        <f t="shared" si="18"/>
        <v>0</v>
      </c>
      <c r="U49" s="94">
        <f t="shared" si="12"/>
        <v>0</v>
      </c>
      <c r="V49" s="88"/>
      <c r="W49" s="88">
        <f t="shared" si="27"/>
        <v>0</v>
      </c>
      <c r="X49" s="88"/>
      <c r="Y49" s="84"/>
      <c r="Z49" s="228">
        <v>747000</v>
      </c>
    </row>
    <row r="50" spans="1:26" s="87" customFormat="1" x14ac:dyDescent="0.25">
      <c r="A50" s="84">
        <f t="shared" si="22"/>
        <v>20</v>
      </c>
      <c r="B50" s="84">
        <v>1881</v>
      </c>
      <c r="C50" s="84" t="s">
        <v>390</v>
      </c>
      <c r="D50" s="88">
        <v>100000</v>
      </c>
      <c r="E50" s="88">
        <v>100000</v>
      </c>
      <c r="F50" s="88">
        <f t="shared" si="13"/>
        <v>0</v>
      </c>
      <c r="G50" s="88">
        <v>100000</v>
      </c>
      <c r="H50" s="88">
        <v>0</v>
      </c>
      <c r="I50" s="88"/>
      <c r="J50" s="88"/>
      <c r="K50" s="88">
        <f t="shared" si="23"/>
        <v>0</v>
      </c>
      <c r="L50" s="88">
        <f t="shared" si="14"/>
        <v>0</v>
      </c>
      <c r="M50" s="88">
        <f t="shared" si="26"/>
        <v>100000</v>
      </c>
      <c r="N50" s="88"/>
      <c r="O50" s="88">
        <f t="shared" si="15"/>
        <v>0</v>
      </c>
      <c r="P50" s="88">
        <f t="shared" si="16"/>
        <v>100000</v>
      </c>
      <c r="Q50" s="88"/>
      <c r="R50" s="88"/>
      <c r="S50" s="88">
        <f t="shared" si="17"/>
        <v>0</v>
      </c>
      <c r="T50" s="88">
        <f t="shared" si="18"/>
        <v>0</v>
      </c>
      <c r="U50" s="94">
        <f t="shared" si="12"/>
        <v>0</v>
      </c>
      <c r="V50" s="88"/>
      <c r="W50" s="88">
        <f t="shared" si="27"/>
        <v>0</v>
      </c>
      <c r="X50" s="88"/>
      <c r="Y50" s="84"/>
      <c r="Z50" s="228">
        <v>747000</v>
      </c>
    </row>
    <row r="51" spans="1:26" s="87" customFormat="1" x14ac:dyDescent="0.25">
      <c r="A51" s="84">
        <f t="shared" si="22"/>
        <v>21</v>
      </c>
      <c r="B51" s="84">
        <v>1923</v>
      </c>
      <c r="C51" s="84" t="s">
        <v>400</v>
      </c>
      <c r="D51" s="88">
        <v>350000</v>
      </c>
      <c r="E51" s="88">
        <v>350000</v>
      </c>
      <c r="F51" s="88">
        <f t="shared" si="13"/>
        <v>0</v>
      </c>
      <c r="G51" s="88">
        <v>350000</v>
      </c>
      <c r="H51" s="88">
        <v>74529</v>
      </c>
      <c r="I51" s="88">
        <v>229489.54</v>
      </c>
      <c r="J51" s="88"/>
      <c r="K51" s="88">
        <f t="shared" si="23"/>
        <v>229489.54</v>
      </c>
      <c r="L51" s="88">
        <f t="shared" si="14"/>
        <v>304018.54000000004</v>
      </c>
      <c r="M51" s="88">
        <f t="shared" si="26"/>
        <v>45981.459999999963</v>
      </c>
      <c r="N51" s="88"/>
      <c r="O51" s="88">
        <f t="shared" si="15"/>
        <v>0</v>
      </c>
      <c r="P51" s="88">
        <f t="shared" si="16"/>
        <v>45981.459999999963</v>
      </c>
      <c r="Q51" s="88"/>
      <c r="R51" s="88"/>
      <c r="S51" s="88">
        <f t="shared" si="17"/>
        <v>0</v>
      </c>
      <c r="T51" s="88">
        <f t="shared" si="18"/>
        <v>0</v>
      </c>
      <c r="U51" s="94">
        <f t="shared" si="12"/>
        <v>0</v>
      </c>
      <c r="V51" s="88"/>
      <c r="W51" s="88">
        <f t="shared" si="27"/>
        <v>0</v>
      </c>
      <c r="X51" s="88"/>
      <c r="Y51" s="84"/>
      <c r="Z51" s="228">
        <v>747000</v>
      </c>
    </row>
    <row r="52" spans="1:26" s="87" customFormat="1" x14ac:dyDescent="0.25">
      <c r="A52" s="84">
        <f t="shared" si="22"/>
        <v>22</v>
      </c>
      <c r="B52" s="84">
        <v>1928</v>
      </c>
      <c r="C52" s="84" t="s">
        <v>470</v>
      </c>
      <c r="D52" s="88">
        <v>100000</v>
      </c>
      <c r="E52" s="88">
        <v>100000</v>
      </c>
      <c r="F52" s="88">
        <f t="shared" si="13"/>
        <v>0</v>
      </c>
      <c r="G52" s="88">
        <v>100000</v>
      </c>
      <c r="H52" s="88">
        <v>0</v>
      </c>
      <c r="I52" s="88"/>
      <c r="J52" s="88"/>
      <c r="K52" s="88">
        <f t="shared" si="23"/>
        <v>0</v>
      </c>
      <c r="L52" s="88">
        <f t="shared" si="14"/>
        <v>0</v>
      </c>
      <c r="M52" s="88">
        <f t="shared" si="26"/>
        <v>100000</v>
      </c>
      <c r="N52" s="88"/>
      <c r="O52" s="88">
        <f t="shared" si="15"/>
        <v>0</v>
      </c>
      <c r="P52" s="88">
        <f t="shared" si="16"/>
        <v>100000</v>
      </c>
      <c r="Q52" s="88"/>
      <c r="R52" s="88"/>
      <c r="S52" s="88">
        <f t="shared" si="17"/>
        <v>0</v>
      </c>
      <c r="T52" s="88">
        <f t="shared" si="18"/>
        <v>0</v>
      </c>
      <c r="U52" s="94">
        <f t="shared" si="12"/>
        <v>0</v>
      </c>
      <c r="V52" s="88"/>
      <c r="W52" s="88">
        <f t="shared" si="27"/>
        <v>0</v>
      </c>
      <c r="X52" s="88"/>
      <c r="Y52" s="84"/>
      <c r="Z52" s="228">
        <v>747000</v>
      </c>
    </row>
    <row r="53" spans="1:26" s="87" customFormat="1" x14ac:dyDescent="0.25">
      <c r="A53" s="84"/>
      <c r="B53" s="84"/>
      <c r="C53" s="84"/>
      <c r="D53" s="88"/>
      <c r="E53" s="88"/>
      <c r="F53" s="88"/>
      <c r="G53" s="88"/>
      <c r="H53" s="88"/>
      <c r="I53" s="88"/>
      <c r="J53" s="88"/>
      <c r="K53" s="88">
        <f t="shared" si="23"/>
        <v>0</v>
      </c>
      <c r="L53" s="88">
        <f t="shared" si="14"/>
        <v>0</v>
      </c>
      <c r="M53" s="88">
        <f t="shared" si="26"/>
        <v>0</v>
      </c>
      <c r="N53" s="88"/>
      <c r="O53" s="88">
        <f t="shared" si="15"/>
        <v>0</v>
      </c>
      <c r="P53" s="88">
        <f t="shared" si="16"/>
        <v>0</v>
      </c>
      <c r="Q53" s="88"/>
      <c r="R53" s="88"/>
      <c r="S53" s="88">
        <f t="shared" si="17"/>
        <v>0</v>
      </c>
      <c r="T53" s="88">
        <f t="shared" si="18"/>
        <v>0</v>
      </c>
      <c r="U53" s="94">
        <f t="shared" si="12"/>
        <v>0</v>
      </c>
      <c r="V53" s="88"/>
      <c r="W53" s="88">
        <f t="shared" si="27"/>
        <v>0</v>
      </c>
      <c r="X53" s="88"/>
      <c r="Y53" s="84"/>
      <c r="Z53" s="228"/>
    </row>
    <row r="54" spans="1:26" s="120" customFormat="1" ht="15.6" x14ac:dyDescent="0.25">
      <c r="A54" s="28">
        <f>A52</f>
        <v>22</v>
      </c>
      <c r="B54" s="28" t="s">
        <v>102</v>
      </c>
      <c r="C54" s="28" t="s">
        <v>155</v>
      </c>
      <c r="D54" s="101">
        <f t="shared" ref="D54:W54" si="28">SUM(D31:D53)</f>
        <v>11175529</v>
      </c>
      <c r="E54" s="101">
        <f t="shared" si="28"/>
        <v>11875529</v>
      </c>
      <c r="F54" s="101">
        <f t="shared" si="28"/>
        <v>-700000</v>
      </c>
      <c r="G54" s="101">
        <f t="shared" si="28"/>
        <v>7495529</v>
      </c>
      <c r="H54" s="101">
        <f t="shared" si="28"/>
        <v>5216430.3999999994</v>
      </c>
      <c r="I54" s="101">
        <f t="shared" si="28"/>
        <v>1587767.57</v>
      </c>
      <c r="J54" s="101">
        <f t="shared" si="28"/>
        <v>0.2</v>
      </c>
      <c r="K54" s="101">
        <f t="shared" si="28"/>
        <v>1587767.77</v>
      </c>
      <c r="L54" s="101">
        <f t="shared" si="28"/>
        <v>6804198.169999999</v>
      </c>
      <c r="M54" s="101">
        <f t="shared" si="28"/>
        <v>691330.83000000007</v>
      </c>
      <c r="N54" s="101">
        <f t="shared" si="28"/>
        <v>1650000</v>
      </c>
      <c r="O54" s="101">
        <f t="shared" si="28"/>
        <v>2030000</v>
      </c>
      <c r="P54" s="101">
        <f t="shared" si="28"/>
        <v>691330.83000000007</v>
      </c>
      <c r="Q54" s="101">
        <f t="shared" si="28"/>
        <v>0</v>
      </c>
      <c r="R54" s="101">
        <f t="shared" si="28"/>
        <v>0</v>
      </c>
      <c r="S54" s="101">
        <f t="shared" si="28"/>
        <v>0</v>
      </c>
      <c r="T54" s="101">
        <f t="shared" si="28"/>
        <v>0</v>
      </c>
      <c r="U54" s="210">
        <f t="shared" si="28"/>
        <v>1650000</v>
      </c>
      <c r="V54" s="101">
        <f t="shared" si="28"/>
        <v>0</v>
      </c>
      <c r="W54" s="101">
        <f t="shared" si="28"/>
        <v>1650000</v>
      </c>
      <c r="X54" s="101">
        <f>SUM(X31:X53)</f>
        <v>0</v>
      </c>
      <c r="Y54" s="101">
        <f>SUM(Y31:Y53)</f>
        <v>0</v>
      </c>
      <c r="Z54" s="244"/>
    </row>
    <row r="55" spans="1:26" s="87" customFormat="1" x14ac:dyDescent="0.25">
      <c r="A55" s="84"/>
      <c r="B55" s="84"/>
      <c r="C55" s="84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>
        <f>D55-L55-M55-N55</f>
        <v>0</v>
      </c>
      <c r="P55" s="88"/>
      <c r="Q55" s="88"/>
      <c r="R55" s="88"/>
      <c r="S55" s="88"/>
      <c r="T55" s="88"/>
      <c r="U55" s="94">
        <f t="shared" si="12"/>
        <v>0</v>
      </c>
      <c r="V55" s="88"/>
      <c r="W55" s="88"/>
      <c r="X55" s="88"/>
      <c r="Y55" s="84"/>
      <c r="Z55" s="228"/>
    </row>
    <row r="56" spans="1:26" s="87" customFormat="1" ht="15.6" x14ac:dyDescent="0.25">
      <c r="A56" s="84"/>
      <c r="B56" s="84"/>
      <c r="C56" s="28" t="s">
        <v>227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>
        <f>D56-L56-M56-N56</f>
        <v>0</v>
      </c>
      <c r="P56" s="88"/>
      <c r="Q56" s="88"/>
      <c r="R56" s="88"/>
      <c r="S56" s="88"/>
      <c r="T56" s="88">
        <f>P56-M56+R56</f>
        <v>0</v>
      </c>
      <c r="U56" s="94">
        <f t="shared" si="12"/>
        <v>0</v>
      </c>
      <c r="V56" s="88"/>
      <c r="W56" s="88"/>
      <c r="X56" s="88"/>
      <c r="Y56" s="84"/>
      <c r="Z56" s="228"/>
    </row>
    <row r="57" spans="1:26" s="87" customFormat="1" x14ac:dyDescent="0.25">
      <c r="A57" s="84">
        <v>1</v>
      </c>
      <c r="B57" s="84">
        <v>135</v>
      </c>
      <c r="C57" s="84" t="s">
        <v>162</v>
      </c>
      <c r="D57" s="88">
        <f>5082000-500000</f>
        <v>4582000</v>
      </c>
      <c r="E57" s="88">
        <v>4582000</v>
      </c>
      <c r="F57" s="88">
        <f>D57-E57</f>
        <v>0</v>
      </c>
      <c r="G57" s="88">
        <v>4582000</v>
      </c>
      <c r="H57" s="88">
        <v>1051854.73</v>
      </c>
      <c r="I57" s="88">
        <v>80671.5</v>
      </c>
      <c r="J57" s="88"/>
      <c r="K57" s="88">
        <f>SUM(I57:J57)</f>
        <v>80671.5</v>
      </c>
      <c r="L57" s="88">
        <f t="shared" ref="L57:L65" si="29">H57+K57</f>
        <v>1132526.23</v>
      </c>
      <c r="M57" s="88">
        <f>P57+S57-3349000</f>
        <v>100473.77000000002</v>
      </c>
      <c r="N57" s="88"/>
      <c r="O57" s="88">
        <f t="shared" ref="O57:O65" si="30">D57-L57-M57-N57</f>
        <v>3349000</v>
      </c>
      <c r="P57" s="88">
        <f t="shared" ref="P57:P65" si="31">G57-L57</f>
        <v>3449473.77</v>
      </c>
      <c r="Q57" s="88"/>
      <c r="R57" s="88"/>
      <c r="S57" s="88">
        <f t="shared" ref="S57:S65" si="32">SUM(Q57:R57)</f>
        <v>0</v>
      </c>
      <c r="T57" s="88">
        <f t="shared" ref="T57:T65" si="33">P57-M57+S57</f>
        <v>3349000</v>
      </c>
      <c r="U57" s="94">
        <f t="shared" si="12"/>
        <v>-3349000</v>
      </c>
      <c r="V57" s="88">
        <v>-3349000</v>
      </c>
      <c r="W57" s="88">
        <f t="shared" ref="W57:W65" si="34">U57-V57-X57-Y57</f>
        <v>0</v>
      </c>
      <c r="X57" s="88"/>
      <c r="Y57" s="84"/>
      <c r="Z57" s="228">
        <v>747000</v>
      </c>
    </row>
    <row r="58" spans="1:26" s="87" customFormat="1" x14ac:dyDescent="0.25">
      <c r="A58" s="84">
        <f>A57+1</f>
        <v>2</v>
      </c>
      <c r="B58" s="84">
        <v>1134</v>
      </c>
      <c r="C58" s="84" t="s">
        <v>163</v>
      </c>
      <c r="D58" s="88">
        <f>2735000-200000</f>
        <v>2535000</v>
      </c>
      <c r="E58" s="88">
        <v>2535000</v>
      </c>
      <c r="F58" s="88">
        <f t="shared" ref="F58:F65" si="35">D58-E58</f>
        <v>0</v>
      </c>
      <c r="G58" s="88">
        <v>2295000</v>
      </c>
      <c r="H58" s="88">
        <v>2180073.67</v>
      </c>
      <c r="I58" s="88">
        <v>62960.160000000003</v>
      </c>
      <c r="J58" s="88"/>
      <c r="K58" s="88">
        <f t="shared" ref="K58:K65" si="36">SUM(I58:J58)</f>
        <v>62960.160000000003</v>
      </c>
      <c r="L58" s="88">
        <f t="shared" si="29"/>
        <v>2243033.83</v>
      </c>
      <c r="M58" s="88">
        <f t="shared" ref="M58:M65" si="37">P58+S58</f>
        <v>51966.169999999925</v>
      </c>
      <c r="N58" s="88">
        <v>200000</v>
      </c>
      <c r="O58" s="88">
        <f t="shared" si="30"/>
        <v>40000</v>
      </c>
      <c r="P58" s="88">
        <f t="shared" si="31"/>
        <v>51966.169999999925</v>
      </c>
      <c r="Q58" s="88"/>
      <c r="R58" s="88"/>
      <c r="S58" s="88">
        <f t="shared" si="32"/>
        <v>0</v>
      </c>
      <c r="T58" s="88">
        <f t="shared" si="33"/>
        <v>0</v>
      </c>
      <c r="U58" s="94">
        <f t="shared" si="12"/>
        <v>200000</v>
      </c>
      <c r="V58" s="88">
        <v>200000</v>
      </c>
      <c r="W58" s="88">
        <f t="shared" si="34"/>
        <v>0</v>
      </c>
      <c r="X58" s="88"/>
      <c r="Y58" s="84"/>
      <c r="Z58" s="228">
        <v>746000</v>
      </c>
    </row>
    <row r="59" spans="1:26" s="87" customFormat="1" x14ac:dyDescent="0.25">
      <c r="A59" s="84">
        <f t="shared" ref="A59:A66" si="38">A58+1</f>
        <v>3</v>
      </c>
      <c r="B59" s="84">
        <v>1345</v>
      </c>
      <c r="C59" s="84" t="s">
        <v>164</v>
      </c>
      <c r="D59" s="88">
        <v>1739000</v>
      </c>
      <c r="E59" s="88">
        <v>1739000</v>
      </c>
      <c r="F59" s="88">
        <f t="shared" si="35"/>
        <v>0</v>
      </c>
      <c r="G59" s="88">
        <v>740000</v>
      </c>
      <c r="H59" s="88">
        <v>636032.25</v>
      </c>
      <c r="I59" s="88">
        <v>60689.83</v>
      </c>
      <c r="J59" s="88"/>
      <c r="K59" s="88">
        <f t="shared" si="36"/>
        <v>60689.83</v>
      </c>
      <c r="L59" s="88">
        <f t="shared" si="29"/>
        <v>696722.08</v>
      </c>
      <c r="M59" s="88">
        <f t="shared" si="37"/>
        <v>68277.920000000042</v>
      </c>
      <c r="N59" s="88"/>
      <c r="O59" s="88">
        <f t="shared" si="30"/>
        <v>974000</v>
      </c>
      <c r="P59" s="88">
        <f t="shared" si="31"/>
        <v>43277.920000000042</v>
      </c>
      <c r="Q59" s="149">
        <v>25000</v>
      </c>
      <c r="R59" s="88"/>
      <c r="S59" s="88">
        <f t="shared" si="32"/>
        <v>25000</v>
      </c>
      <c r="T59" s="88">
        <f t="shared" si="33"/>
        <v>0</v>
      </c>
      <c r="U59" s="94">
        <f t="shared" si="12"/>
        <v>0</v>
      </c>
      <c r="V59" s="88"/>
      <c r="W59" s="88">
        <f t="shared" si="34"/>
        <v>0</v>
      </c>
      <c r="X59" s="88"/>
      <c r="Y59" s="84"/>
      <c r="Z59" s="228">
        <v>870000</v>
      </c>
    </row>
    <row r="60" spans="1:26" s="87" customFormat="1" x14ac:dyDescent="0.25">
      <c r="A60" s="84">
        <f t="shared" si="38"/>
        <v>4</v>
      </c>
      <c r="B60" s="84">
        <v>1566</v>
      </c>
      <c r="C60" s="84" t="s">
        <v>165</v>
      </c>
      <c r="D60" s="88">
        <f>1200000-500000</f>
        <v>700000</v>
      </c>
      <c r="E60" s="88">
        <v>1200000</v>
      </c>
      <c r="F60" s="88">
        <f t="shared" si="35"/>
        <v>-500000</v>
      </c>
      <c r="G60" s="88">
        <v>700000</v>
      </c>
      <c r="H60" s="88">
        <v>663998.76</v>
      </c>
      <c r="I60" s="88">
        <v>34266.300000000003</v>
      </c>
      <c r="J60" s="88"/>
      <c r="K60" s="88">
        <f t="shared" si="36"/>
        <v>34266.300000000003</v>
      </c>
      <c r="L60" s="88">
        <f t="shared" si="29"/>
        <v>698265.06</v>
      </c>
      <c r="M60" s="88">
        <f t="shared" si="37"/>
        <v>1734.9399999999441</v>
      </c>
      <c r="N60" s="88"/>
      <c r="O60" s="88">
        <f t="shared" si="30"/>
        <v>0</v>
      </c>
      <c r="P60" s="88">
        <f t="shared" si="31"/>
        <v>1734.9399999999441</v>
      </c>
      <c r="Q60" s="88"/>
      <c r="R60" s="88"/>
      <c r="S60" s="88">
        <f t="shared" si="32"/>
        <v>0</v>
      </c>
      <c r="T60" s="88">
        <f t="shared" si="33"/>
        <v>0</v>
      </c>
      <c r="U60" s="94">
        <f t="shared" si="12"/>
        <v>0</v>
      </c>
      <c r="V60" s="88"/>
      <c r="W60" s="88">
        <f t="shared" si="34"/>
        <v>0</v>
      </c>
      <c r="X60" s="88"/>
      <c r="Y60" s="84"/>
      <c r="Z60" s="228">
        <v>870000</v>
      </c>
    </row>
    <row r="61" spans="1:26" s="87" customFormat="1" x14ac:dyDescent="0.25">
      <c r="A61" s="84">
        <f t="shared" si="38"/>
        <v>5</v>
      </c>
      <c r="B61" s="84">
        <v>1579</v>
      </c>
      <c r="C61" s="84" t="s">
        <v>166</v>
      </c>
      <c r="D61" s="88">
        <f>280000-110000</f>
        <v>170000</v>
      </c>
      <c r="E61" s="88">
        <v>280000</v>
      </c>
      <c r="F61" s="88">
        <f t="shared" si="35"/>
        <v>-110000</v>
      </c>
      <c r="G61" s="88">
        <v>170000</v>
      </c>
      <c r="H61" s="88">
        <v>135082.65</v>
      </c>
      <c r="I61" s="88">
        <v>11559.6</v>
      </c>
      <c r="J61" s="88"/>
      <c r="K61" s="88">
        <f t="shared" si="36"/>
        <v>11559.6</v>
      </c>
      <c r="L61" s="88">
        <f t="shared" si="29"/>
        <v>146642.25</v>
      </c>
      <c r="M61" s="88">
        <f t="shared" si="37"/>
        <v>23357.75</v>
      </c>
      <c r="N61" s="88"/>
      <c r="O61" s="88">
        <f t="shared" si="30"/>
        <v>0</v>
      </c>
      <c r="P61" s="88">
        <f t="shared" si="31"/>
        <v>23357.75</v>
      </c>
      <c r="Q61" s="88"/>
      <c r="R61" s="88"/>
      <c r="S61" s="88">
        <f t="shared" si="32"/>
        <v>0</v>
      </c>
      <c r="T61" s="88">
        <f t="shared" si="33"/>
        <v>0</v>
      </c>
      <c r="U61" s="94">
        <f t="shared" si="12"/>
        <v>0</v>
      </c>
      <c r="V61" s="88"/>
      <c r="W61" s="88">
        <f t="shared" si="34"/>
        <v>0</v>
      </c>
      <c r="X61" s="88"/>
      <c r="Y61" s="84"/>
      <c r="Z61" s="228">
        <v>870000</v>
      </c>
    </row>
    <row r="62" spans="1:26" s="87" customFormat="1" x14ac:dyDescent="0.25">
      <c r="A62" s="84">
        <f t="shared" si="38"/>
        <v>6</v>
      </c>
      <c r="B62" s="84">
        <v>1598</v>
      </c>
      <c r="C62" s="84" t="s">
        <v>167</v>
      </c>
      <c r="D62" s="88">
        <f>372000-87500</f>
        <v>284500</v>
      </c>
      <c r="E62" s="88">
        <v>284500</v>
      </c>
      <c r="F62" s="88">
        <f t="shared" si="35"/>
        <v>0</v>
      </c>
      <c r="G62" s="88">
        <v>284500</v>
      </c>
      <c r="H62" s="88">
        <v>95476.64</v>
      </c>
      <c r="I62" s="88">
        <v>64931.5</v>
      </c>
      <c r="J62" s="88"/>
      <c r="K62" s="88">
        <f t="shared" si="36"/>
        <v>64931.5</v>
      </c>
      <c r="L62" s="88">
        <f t="shared" si="29"/>
        <v>160408.14000000001</v>
      </c>
      <c r="M62" s="88">
        <f t="shared" si="37"/>
        <v>124091.85999999999</v>
      </c>
      <c r="N62" s="88"/>
      <c r="O62" s="88">
        <f t="shared" si="30"/>
        <v>0</v>
      </c>
      <c r="P62" s="88">
        <f t="shared" si="31"/>
        <v>124091.85999999999</v>
      </c>
      <c r="Q62" s="88"/>
      <c r="R62" s="88"/>
      <c r="S62" s="88">
        <f t="shared" si="32"/>
        <v>0</v>
      </c>
      <c r="T62" s="88">
        <f t="shared" si="33"/>
        <v>0</v>
      </c>
      <c r="U62" s="94">
        <f t="shared" si="12"/>
        <v>0</v>
      </c>
      <c r="V62" s="88"/>
      <c r="W62" s="88">
        <f t="shared" si="34"/>
        <v>0</v>
      </c>
      <c r="X62" s="88"/>
      <c r="Y62" s="84"/>
      <c r="Z62" s="228">
        <v>870000</v>
      </c>
    </row>
    <row r="63" spans="1:26" s="87" customFormat="1" x14ac:dyDescent="0.25">
      <c r="A63" s="84">
        <f t="shared" si="38"/>
        <v>7</v>
      </c>
      <c r="B63" s="84">
        <v>1685</v>
      </c>
      <c r="C63" s="84" t="s">
        <v>168</v>
      </c>
      <c r="D63" s="88">
        <v>180000</v>
      </c>
      <c r="E63" s="88">
        <v>180000</v>
      </c>
      <c r="F63" s="88">
        <f t="shared" si="35"/>
        <v>0</v>
      </c>
      <c r="G63" s="88">
        <v>180000</v>
      </c>
      <c r="H63" s="88">
        <v>87165</v>
      </c>
      <c r="I63" s="88"/>
      <c r="J63" s="88"/>
      <c r="K63" s="88">
        <f t="shared" si="36"/>
        <v>0</v>
      </c>
      <c r="L63" s="88">
        <f t="shared" si="29"/>
        <v>87165</v>
      </c>
      <c r="M63" s="88">
        <f t="shared" si="37"/>
        <v>92835</v>
      </c>
      <c r="N63" s="88"/>
      <c r="O63" s="88">
        <f t="shared" si="30"/>
        <v>0</v>
      </c>
      <c r="P63" s="88">
        <f t="shared" si="31"/>
        <v>92835</v>
      </c>
      <c r="Q63" s="88"/>
      <c r="R63" s="88"/>
      <c r="S63" s="88">
        <f t="shared" si="32"/>
        <v>0</v>
      </c>
      <c r="T63" s="88">
        <f t="shared" si="33"/>
        <v>0</v>
      </c>
      <c r="U63" s="94">
        <f t="shared" si="12"/>
        <v>0</v>
      </c>
      <c r="V63" s="88"/>
      <c r="W63" s="88">
        <f t="shared" si="34"/>
        <v>0</v>
      </c>
      <c r="X63" s="88"/>
      <c r="Y63" s="84"/>
      <c r="Z63" s="228">
        <v>870000</v>
      </c>
    </row>
    <row r="64" spans="1:26" s="87" customFormat="1" x14ac:dyDescent="0.25">
      <c r="A64" s="84">
        <f t="shared" si="38"/>
        <v>8</v>
      </c>
      <c r="B64" s="84">
        <v>1831</v>
      </c>
      <c r="C64" s="84" t="s">
        <v>384</v>
      </c>
      <c r="D64" s="88">
        <v>146059</v>
      </c>
      <c r="E64" s="88">
        <v>146059</v>
      </c>
      <c r="F64" s="88">
        <f>D64-E64</f>
        <v>0</v>
      </c>
      <c r="G64" s="88">
        <v>50000</v>
      </c>
      <c r="H64" s="88">
        <v>38025</v>
      </c>
      <c r="I64" s="88"/>
      <c r="J64" s="88"/>
      <c r="K64" s="88">
        <f>SUM(I64:J64)</f>
        <v>0</v>
      </c>
      <c r="L64" s="88">
        <f>H64+K64</f>
        <v>38025</v>
      </c>
      <c r="M64" s="88">
        <f>P64+S64</f>
        <v>11975</v>
      </c>
      <c r="N64" s="88">
        <v>96059</v>
      </c>
      <c r="O64" s="88">
        <f>D64-L64-M64-N64</f>
        <v>0</v>
      </c>
      <c r="P64" s="88">
        <f>G64-L64</f>
        <v>11975</v>
      </c>
      <c r="Q64" s="88"/>
      <c r="R64" s="88"/>
      <c r="S64" s="88">
        <f>SUM(Q64:R64)</f>
        <v>0</v>
      </c>
      <c r="T64" s="88">
        <f>P64-M64+S64</f>
        <v>0</v>
      </c>
      <c r="U64" s="94">
        <f>N64-T64</f>
        <v>96059</v>
      </c>
      <c r="V64" s="88"/>
      <c r="W64" s="88">
        <f>U64-V64-X64-Y64</f>
        <v>0</v>
      </c>
      <c r="X64" s="88"/>
      <c r="Y64" s="88">
        <v>96059</v>
      </c>
      <c r="Z64" s="228">
        <v>870000</v>
      </c>
    </row>
    <row r="65" spans="1:26" s="87" customFormat="1" x14ac:dyDescent="0.25">
      <c r="A65" s="84">
        <f t="shared" si="38"/>
        <v>9</v>
      </c>
      <c r="B65" s="84">
        <v>1866</v>
      </c>
      <c r="C65" s="84" t="s">
        <v>401</v>
      </c>
      <c r="D65" s="88">
        <v>300000</v>
      </c>
      <c r="E65" s="88">
        <v>300000</v>
      </c>
      <c r="F65" s="88">
        <f t="shared" si="35"/>
        <v>0</v>
      </c>
      <c r="G65" s="88">
        <v>50000</v>
      </c>
      <c r="H65" s="88">
        <v>0</v>
      </c>
      <c r="I65" s="88">
        <v>30029.81</v>
      </c>
      <c r="J65" s="88"/>
      <c r="K65" s="88">
        <f t="shared" si="36"/>
        <v>30029.81</v>
      </c>
      <c r="L65" s="88">
        <f t="shared" si="29"/>
        <v>30029.81</v>
      </c>
      <c r="M65" s="88">
        <f t="shared" si="37"/>
        <v>19970.189999999999</v>
      </c>
      <c r="N65" s="88">
        <v>100000</v>
      </c>
      <c r="O65" s="88">
        <f t="shared" si="30"/>
        <v>150000</v>
      </c>
      <c r="P65" s="88">
        <f t="shared" si="31"/>
        <v>19970.189999999999</v>
      </c>
      <c r="Q65" s="88"/>
      <c r="R65" s="88"/>
      <c r="S65" s="88">
        <f t="shared" si="32"/>
        <v>0</v>
      </c>
      <c r="T65" s="88">
        <f t="shared" si="33"/>
        <v>0</v>
      </c>
      <c r="U65" s="94">
        <f t="shared" si="12"/>
        <v>100000</v>
      </c>
      <c r="V65" s="88"/>
      <c r="W65" s="88">
        <f t="shared" si="34"/>
        <v>100000</v>
      </c>
      <c r="X65" s="88"/>
      <c r="Y65" s="84"/>
      <c r="Z65" s="228">
        <v>870000</v>
      </c>
    </row>
    <row r="66" spans="1:26" s="87" customFormat="1" x14ac:dyDescent="0.25">
      <c r="A66" s="84">
        <f t="shared" si="38"/>
        <v>10</v>
      </c>
      <c r="B66" s="84">
        <v>1922</v>
      </c>
      <c r="C66" s="84" t="s">
        <v>387</v>
      </c>
      <c r="D66" s="88">
        <v>330000</v>
      </c>
      <c r="E66" s="88">
        <v>330000</v>
      </c>
      <c r="F66" s="88">
        <f>D66-E66</f>
        <v>0</v>
      </c>
      <c r="G66" s="88">
        <v>0</v>
      </c>
      <c r="H66" s="88">
        <v>0</v>
      </c>
      <c r="I66" s="88"/>
      <c r="J66" s="88"/>
      <c r="K66" s="88">
        <f>SUM(I66:J66)</f>
        <v>0</v>
      </c>
      <c r="L66" s="88">
        <f>H66+K66</f>
        <v>0</v>
      </c>
      <c r="M66" s="88">
        <f>P66+S66</f>
        <v>0</v>
      </c>
      <c r="N66" s="88">
        <v>100000</v>
      </c>
      <c r="O66" s="88">
        <f>D66-L66-M66-N66</f>
        <v>230000</v>
      </c>
      <c r="P66" s="88">
        <f>G66-L66</f>
        <v>0</v>
      </c>
      <c r="Q66" s="88"/>
      <c r="R66" s="88"/>
      <c r="S66" s="88">
        <f>SUM(Q66:R66)</f>
        <v>0</v>
      </c>
      <c r="T66" s="88">
        <f>P66-M66+S66</f>
        <v>0</v>
      </c>
      <c r="U66" s="94">
        <f>N66-T66</f>
        <v>100000</v>
      </c>
      <c r="V66" s="88"/>
      <c r="W66" s="88">
        <f>U66-V66-X66-Y66</f>
        <v>100000</v>
      </c>
      <c r="X66" s="88"/>
      <c r="Y66" s="84"/>
      <c r="Z66" s="228">
        <v>870000</v>
      </c>
    </row>
    <row r="67" spans="1:26" s="120" customFormat="1" ht="15.6" x14ac:dyDescent="0.25">
      <c r="A67" s="28">
        <f>A66</f>
        <v>10</v>
      </c>
      <c r="B67" s="28" t="s">
        <v>102</v>
      </c>
      <c r="C67" s="28" t="s">
        <v>169</v>
      </c>
      <c r="D67" s="101">
        <f>SUM(D57:D66)</f>
        <v>10966559</v>
      </c>
      <c r="E67" s="101">
        <f t="shared" ref="E67:Y67" si="39">SUM(E57:E66)</f>
        <v>11576559</v>
      </c>
      <c r="F67" s="101">
        <f t="shared" si="39"/>
        <v>-610000</v>
      </c>
      <c r="G67" s="101">
        <f t="shared" si="39"/>
        <v>9051500</v>
      </c>
      <c r="H67" s="101">
        <f t="shared" si="39"/>
        <v>4887708.7</v>
      </c>
      <c r="I67" s="101">
        <f t="shared" si="39"/>
        <v>345108.7</v>
      </c>
      <c r="J67" s="101">
        <f t="shared" si="39"/>
        <v>0</v>
      </c>
      <c r="K67" s="101">
        <f t="shared" si="39"/>
        <v>345108.7</v>
      </c>
      <c r="L67" s="101">
        <f t="shared" si="39"/>
        <v>5232817.3999999994</v>
      </c>
      <c r="M67" s="101">
        <f t="shared" si="39"/>
        <v>494682.59999999992</v>
      </c>
      <c r="N67" s="101">
        <f t="shared" si="39"/>
        <v>496059</v>
      </c>
      <c r="O67" s="101">
        <f t="shared" si="39"/>
        <v>4743000</v>
      </c>
      <c r="P67" s="101">
        <f t="shared" si="39"/>
        <v>3818682.5999999996</v>
      </c>
      <c r="Q67" s="101">
        <f t="shared" si="39"/>
        <v>25000</v>
      </c>
      <c r="R67" s="101">
        <f t="shared" si="39"/>
        <v>0</v>
      </c>
      <c r="S67" s="101">
        <f t="shared" si="39"/>
        <v>25000</v>
      </c>
      <c r="T67" s="101">
        <f t="shared" si="39"/>
        <v>3349000</v>
      </c>
      <c r="U67" s="101">
        <f t="shared" si="39"/>
        <v>-2852941</v>
      </c>
      <c r="V67" s="101">
        <f t="shared" si="39"/>
        <v>-3149000</v>
      </c>
      <c r="W67" s="101">
        <f t="shared" si="39"/>
        <v>200000</v>
      </c>
      <c r="X67" s="101">
        <f t="shared" si="39"/>
        <v>0</v>
      </c>
      <c r="Y67" s="101">
        <f t="shared" si="39"/>
        <v>96059</v>
      </c>
      <c r="Z67" s="101"/>
    </row>
    <row r="68" spans="1:26" s="87" customFormat="1" x14ac:dyDescent="0.25">
      <c r="A68" s="84"/>
      <c r="B68" s="84"/>
      <c r="C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>
        <f>D68-L68-M68-N68</f>
        <v>0</v>
      </c>
      <c r="P68" s="88"/>
      <c r="Q68" s="88"/>
      <c r="R68" s="88"/>
      <c r="S68" s="88"/>
      <c r="T68" s="88">
        <f>P68-M68+R68</f>
        <v>0</v>
      </c>
      <c r="U68" s="94">
        <f t="shared" si="12"/>
        <v>0</v>
      </c>
      <c r="V68" s="88"/>
      <c r="W68" s="88"/>
      <c r="X68" s="88"/>
      <c r="Y68" s="84"/>
      <c r="Z68" s="228"/>
    </row>
    <row r="69" spans="1:26" s="123" customFormat="1" ht="16.5" customHeight="1" x14ac:dyDescent="0.25"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223"/>
    </row>
    <row r="70" spans="1:26" s="126" customFormat="1" ht="16.5" hidden="1" customHeight="1" x14ac:dyDescent="0.25">
      <c r="A70" s="125">
        <f>A67+A54+A28</f>
        <v>53</v>
      </c>
      <c r="C70" s="126" t="s">
        <v>248</v>
      </c>
      <c r="D70" s="125">
        <f t="shared" ref="D70:Z70" si="40">D67+D54+D28</f>
        <v>143902088</v>
      </c>
      <c r="E70" s="125">
        <f t="shared" si="40"/>
        <v>117374088</v>
      </c>
      <c r="F70" s="125">
        <f t="shared" si="40"/>
        <v>26528000</v>
      </c>
      <c r="G70" s="125">
        <f t="shared" si="40"/>
        <v>91237029</v>
      </c>
      <c r="H70" s="125">
        <f t="shared" si="40"/>
        <v>76905781.850000009</v>
      </c>
      <c r="I70" s="125">
        <f t="shared" si="40"/>
        <v>8371156.3699999992</v>
      </c>
      <c r="J70" s="125">
        <f t="shared" si="40"/>
        <v>0.2</v>
      </c>
      <c r="K70" s="125">
        <f t="shared" si="40"/>
        <v>8371156.5699999984</v>
      </c>
      <c r="L70" s="125">
        <f t="shared" si="40"/>
        <v>85276938.419999987</v>
      </c>
      <c r="M70" s="125">
        <f t="shared" si="40"/>
        <v>4356090.5800000019</v>
      </c>
      <c r="N70" s="125">
        <f t="shared" si="40"/>
        <v>16760379</v>
      </c>
      <c r="O70" s="125">
        <f t="shared" si="40"/>
        <v>37508680</v>
      </c>
      <c r="P70" s="125">
        <f t="shared" si="40"/>
        <v>5960090.580000001</v>
      </c>
      <c r="Q70" s="125">
        <f t="shared" si="40"/>
        <v>1575000</v>
      </c>
      <c r="R70" s="125">
        <f t="shared" si="40"/>
        <v>170000</v>
      </c>
      <c r="S70" s="125">
        <f t="shared" si="40"/>
        <v>1745000</v>
      </c>
      <c r="T70" s="125">
        <f t="shared" si="40"/>
        <v>3349000</v>
      </c>
      <c r="U70" s="224">
        <f t="shared" si="40"/>
        <v>13411379</v>
      </c>
      <c r="V70" s="125">
        <f t="shared" si="40"/>
        <v>6671000</v>
      </c>
      <c r="W70" s="125">
        <f t="shared" si="40"/>
        <v>6570000</v>
      </c>
      <c r="X70" s="125">
        <f t="shared" si="40"/>
        <v>0</v>
      </c>
      <c r="Y70" s="125">
        <f t="shared" si="40"/>
        <v>170379</v>
      </c>
      <c r="Z70" s="125">
        <f t="shared" si="40"/>
        <v>0</v>
      </c>
    </row>
    <row r="71" spans="1:26" s="126" customFormat="1" ht="16.5" hidden="1" customHeight="1" x14ac:dyDescent="0.25">
      <c r="D71" s="127"/>
      <c r="E71" s="127"/>
      <c r="F71" s="127"/>
      <c r="G71" s="127"/>
      <c r="H71" s="127"/>
      <c r="I71" s="127"/>
      <c r="J71" s="127"/>
      <c r="K71" s="127"/>
      <c r="L71" s="125">
        <f>K70+H70</f>
        <v>85276938.420000002</v>
      </c>
      <c r="M71" s="125">
        <f>P70+S70-T70</f>
        <v>4356090.580000001</v>
      </c>
      <c r="N71" s="127"/>
      <c r="O71" s="127"/>
      <c r="P71" s="125">
        <f>G70-L70</f>
        <v>5960090.5800000131</v>
      </c>
      <c r="Q71" s="127"/>
      <c r="R71" s="127"/>
      <c r="S71" s="127"/>
      <c r="T71" s="127"/>
      <c r="U71" s="225"/>
      <c r="V71" s="127"/>
      <c r="W71" s="127"/>
      <c r="X71" s="127"/>
      <c r="Y71" s="127"/>
    </row>
    <row r="73" spans="1:26" hidden="1" x14ac:dyDescent="0.25">
      <c r="N73" s="105" t="s">
        <v>471</v>
      </c>
      <c r="O73" s="105" t="s">
        <v>472</v>
      </c>
      <c r="Q73" s="105">
        <f>'[1]שאיפה '!$AY$28</f>
        <v>1550000</v>
      </c>
      <c r="U73" s="226"/>
      <c r="V73" s="128"/>
      <c r="W73" s="128"/>
      <c r="X73" s="128"/>
      <c r="Y73" s="128"/>
    </row>
    <row r="74" spans="1:26" hidden="1" x14ac:dyDescent="0.25">
      <c r="U74" s="226"/>
      <c r="V74" s="128"/>
      <c r="W74" s="128"/>
      <c r="X74" s="128"/>
      <c r="Y74" s="128"/>
    </row>
    <row r="75" spans="1:26" hidden="1" x14ac:dyDescent="0.25">
      <c r="N75" s="105" t="s">
        <v>518</v>
      </c>
      <c r="Q75" s="105">
        <f>'[3]שאיפה '!$AZ$27</f>
        <v>450000</v>
      </c>
      <c r="U75" s="226"/>
      <c r="V75" s="128"/>
      <c r="W75" s="128"/>
      <c r="X75" s="128"/>
      <c r="Y75" s="128"/>
    </row>
    <row r="76" spans="1:26" hidden="1" x14ac:dyDescent="0.25">
      <c r="N76" s="105" t="s">
        <v>524</v>
      </c>
      <c r="Q76" s="105">
        <f>'[5]שאיפה '!$BC$27</f>
        <v>1100000</v>
      </c>
      <c r="U76" s="226"/>
      <c r="V76" s="128"/>
      <c r="W76" s="128"/>
      <c r="X76" s="128"/>
      <c r="Y76" s="128"/>
    </row>
    <row r="77" spans="1:26" hidden="1" x14ac:dyDescent="0.25">
      <c r="Q77" s="105">
        <f>SUM(Q75:Q76)</f>
        <v>1550000</v>
      </c>
      <c r="U77" s="226"/>
      <c r="V77" s="128"/>
      <c r="W77" s="128"/>
      <c r="X77" s="128"/>
      <c r="Y77" s="128"/>
    </row>
    <row r="78" spans="1:26" hidden="1" x14ac:dyDescent="0.25">
      <c r="A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Q78" s="105">
        <f>Q28-Q73</f>
        <v>0</v>
      </c>
    </row>
    <row r="79" spans="1:26" hidden="1" x14ac:dyDescent="0.25">
      <c r="A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 t="s">
        <v>227</v>
      </c>
      <c r="Q79" s="105">
        <f>'[1]שאיפה '!$AY$62</f>
        <v>25000</v>
      </c>
      <c r="U79" s="226"/>
      <c r="W79" s="128"/>
      <c r="Y79" s="128"/>
    </row>
    <row r="80" spans="1:26" hidden="1" x14ac:dyDescent="0.25">
      <c r="A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U80" s="226"/>
      <c r="W80" s="128"/>
      <c r="Y80" s="128"/>
    </row>
    <row r="81" spans="1:25" hidden="1" x14ac:dyDescent="0.25">
      <c r="A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5" t="s">
        <v>518</v>
      </c>
      <c r="O81" s="80"/>
      <c r="Q81" s="105">
        <f>'[3]שאיפה '!$AZ$61</f>
        <v>25000</v>
      </c>
      <c r="U81" s="226"/>
      <c r="W81" s="128"/>
      <c r="Y81" s="128"/>
    </row>
    <row r="82" spans="1:25" hidden="1" x14ac:dyDescent="0.25">
      <c r="A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Q82" s="105">
        <f>Q67-Q79</f>
        <v>0</v>
      </c>
      <c r="U82" s="226"/>
      <c r="W82" s="128"/>
      <c r="Y82" s="128"/>
    </row>
    <row r="83" spans="1:25" hidden="1" x14ac:dyDescent="0.25">
      <c r="A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 t="s">
        <v>464</v>
      </c>
      <c r="O83" s="105" t="s">
        <v>472</v>
      </c>
      <c r="R83" s="105">
        <f>'[1]ריכוז תקציבים מעבר לתוכנית 31.8'!$AD$147</f>
        <v>170000</v>
      </c>
      <c r="U83" s="226"/>
      <c r="W83" s="128"/>
      <c r="Y83" s="128"/>
    </row>
    <row r="84" spans="1:25" hidden="1" x14ac:dyDescent="0.25">
      <c r="A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U84" s="226"/>
      <c r="W84" s="128"/>
      <c r="Y84" s="128"/>
    </row>
    <row r="85" spans="1:25" hidden="1" x14ac:dyDescent="0.25">
      <c r="A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105" t="s">
        <v>517</v>
      </c>
      <c r="R85" s="200">
        <v>170000</v>
      </c>
      <c r="S85" s="105" t="s">
        <v>477</v>
      </c>
      <c r="U85" s="226"/>
      <c r="W85" s="128"/>
      <c r="Y85" s="128"/>
    </row>
    <row r="86" spans="1:25" hidden="1" x14ac:dyDescent="0.25">
      <c r="A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U86" s="226"/>
      <c r="W86" s="128"/>
      <c r="Y86" s="128"/>
    </row>
    <row r="87" spans="1:25" hidden="1" x14ac:dyDescent="0.25">
      <c r="A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Q87" s="105">
        <f>Q67-Q79</f>
        <v>0</v>
      </c>
      <c r="U87" s="226"/>
      <c r="W87" s="128"/>
      <c r="Y87" s="128"/>
    </row>
    <row r="88" spans="1:25" hidden="1" x14ac:dyDescent="0.25">
      <c r="A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O88" s="105" t="s">
        <v>222</v>
      </c>
      <c r="Q88" s="105">
        <v>650000</v>
      </c>
      <c r="R88" s="80"/>
      <c r="S88" s="80"/>
    </row>
    <row r="89" spans="1:25" hidden="1" x14ac:dyDescent="0.25">
      <c r="A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O89" s="105" t="s">
        <v>463</v>
      </c>
      <c r="Q89" s="105">
        <f>800000+100000</f>
        <v>900000</v>
      </c>
    </row>
    <row r="90" spans="1:25" hidden="1" x14ac:dyDescent="0.25">
      <c r="A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Q90" s="105">
        <f>SUM(Q88:Q89)</f>
        <v>1550000</v>
      </c>
    </row>
    <row r="91" spans="1:25" hidden="1" x14ac:dyDescent="0.25"/>
    <row r="92" spans="1:25" hidden="1" x14ac:dyDescent="0.25"/>
    <row r="93" spans="1:25" hidden="1" x14ac:dyDescent="0.25">
      <c r="A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O93" s="105" t="s">
        <v>227</v>
      </c>
      <c r="R93" s="105" t="s">
        <v>227</v>
      </c>
      <c r="S93" s="105" t="s">
        <v>464</v>
      </c>
    </row>
    <row r="94" spans="1:25" hidden="1" x14ac:dyDescent="0.25">
      <c r="A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O94" s="105" t="s">
        <v>463</v>
      </c>
      <c r="Q94" s="105">
        <v>25000</v>
      </c>
      <c r="R94" s="105">
        <v>160000</v>
      </c>
    </row>
    <row r="95" spans="1:25" x14ac:dyDescent="0.25">
      <c r="A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R95" s="105" t="e">
        <f>#REF!</f>
        <v>#REF!</v>
      </c>
      <c r="S95" s="105" t="s">
        <v>473</v>
      </c>
    </row>
    <row r="96" spans="1:25" x14ac:dyDescent="0.25">
      <c r="A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105" t="e">
        <f>SUM(R94:R95)</f>
        <v>#REF!</v>
      </c>
      <c r="S96" s="80"/>
      <c r="T96" s="80"/>
    </row>
  </sheetData>
  <sheetProtection algorithmName="SHA-512" hashValue="ExeRbPVvRRftWBpbjOC9ddBkYckevKbqzN+L4iUbEqBNIgVhpEIwK4P2Uwa/R2E66Ny6cCbD8gH0o+X9xA1/PQ==" saltValue="DmUZuOvKp//ljeb0aMOAWQ==" spinCount="100000" sheet="1" formatCells="0" formatColumns="0" formatRows="0" insertColumns="0" insertRows="0" insertHyperlinks="0" deleteColumns="0" deleteRows="0" sort="0" autoFilter="0" pivotTables="0"/>
  <mergeCells count="1">
    <mergeCell ref="A2:Y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0"/>
  <sheetViews>
    <sheetView rightToLeft="1" topLeftCell="A8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5" spans="1:17" ht="21" x14ac:dyDescent="0.25">
      <c r="A5" s="258"/>
      <c r="C5" s="255" t="s">
        <v>730</v>
      </c>
      <c r="D5" s="258"/>
      <c r="E5" s="258"/>
      <c r="F5" s="258"/>
      <c r="G5" s="258"/>
      <c r="H5" s="258"/>
      <c r="I5" s="258"/>
      <c r="J5" s="258"/>
      <c r="K5" s="258"/>
      <c r="L5" s="258"/>
    </row>
    <row r="6" spans="1:17" ht="21.6" thickBot="1" x14ac:dyDescent="0.3">
      <c r="A6" s="258"/>
      <c r="C6" s="255"/>
      <c r="D6" s="258"/>
      <c r="E6" s="258"/>
      <c r="F6" s="258"/>
      <c r="G6" s="258"/>
      <c r="H6" s="258"/>
      <c r="I6" s="258"/>
      <c r="J6" s="258"/>
      <c r="K6" s="258"/>
      <c r="L6" s="258"/>
    </row>
    <row r="7" spans="1:17" ht="16.2" thickBot="1" x14ac:dyDescent="0.3">
      <c r="A7" s="258"/>
      <c r="B7" s="343" t="s">
        <v>588</v>
      </c>
      <c r="C7" s="258" t="s">
        <v>729</v>
      </c>
      <c r="D7" s="258"/>
      <c r="E7" s="258"/>
      <c r="F7" s="360">
        <f>'פרוט הח. לתיירות'!U20</f>
        <v>10175040</v>
      </c>
      <c r="I7" s="258"/>
      <c r="J7" s="258"/>
      <c r="K7" s="258"/>
      <c r="L7" s="258"/>
    </row>
    <row r="8" spans="1:17" ht="21" x14ac:dyDescent="0.25">
      <c r="A8" s="258"/>
      <c r="C8" s="255"/>
      <c r="D8" s="258"/>
      <c r="E8" s="258"/>
      <c r="F8" s="258"/>
      <c r="H8" s="258"/>
      <c r="I8" s="258"/>
      <c r="J8" s="258"/>
      <c r="K8" s="258"/>
      <c r="L8" s="258"/>
    </row>
    <row r="9" spans="1:17" ht="15.6" x14ac:dyDescent="0.25">
      <c r="B9" s="343" t="s">
        <v>588</v>
      </c>
      <c r="C9" s="258" t="s">
        <v>698</v>
      </c>
      <c r="D9" s="258"/>
      <c r="E9" s="258"/>
      <c r="F9" s="258"/>
      <c r="G9" s="258"/>
      <c r="H9" s="258"/>
      <c r="I9" s="258"/>
      <c r="J9" s="258"/>
      <c r="K9" s="258"/>
      <c r="L9" s="258"/>
    </row>
    <row r="10" spans="1:17" ht="16.2" thickBot="1" x14ac:dyDescent="0.3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D11" s="359" t="s">
        <v>571</v>
      </c>
      <c r="E11" s="353" t="s">
        <v>693</v>
      </c>
      <c r="F11" s="352" t="s">
        <v>697</v>
      </c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13</v>
      </c>
      <c r="E12" s="365">
        <f>'פרוט הח. לתיירות'!V20</f>
        <v>5210000</v>
      </c>
      <c r="F12" s="362">
        <f>E12/$E$15</f>
        <v>0.51203729911626883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14</v>
      </c>
      <c r="E13" s="365">
        <f>'פרוט הח. לתיירות'!W20</f>
        <v>65040</v>
      </c>
      <c r="F13" s="362">
        <f>E13/$E$15</f>
        <v>6.3921124634399471E-3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C14" s="343"/>
      <c r="D14" s="351" t="s">
        <v>223</v>
      </c>
      <c r="E14" s="365">
        <f>'פרוט הח. לתיירות'!Y20</f>
        <v>4900000</v>
      </c>
      <c r="F14" s="362">
        <f>E14/$E$15</f>
        <v>0.48157058842029121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6.2" thickBot="1" x14ac:dyDescent="0.3">
      <c r="C15" s="343"/>
      <c r="D15" s="350" t="s">
        <v>248</v>
      </c>
      <c r="E15" s="366">
        <f>SUM(E12:E14)</f>
        <v>10175040</v>
      </c>
      <c r="F15" s="408">
        <f>SUM(F12:F14)</f>
        <v>1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2:17" ht="15.6" x14ac:dyDescent="0.25">
      <c r="B17" s="343" t="s">
        <v>588</v>
      </c>
      <c r="C17" s="258" t="s">
        <v>706</v>
      </c>
      <c r="D17" s="258"/>
      <c r="F17" s="258"/>
      <c r="H17" s="265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2:17" ht="15.6" x14ac:dyDescent="0.25">
      <c r="C18" s="258"/>
      <c r="D18" s="258" t="s">
        <v>739</v>
      </c>
      <c r="E18" s="258"/>
      <c r="F18" s="258"/>
      <c r="H18" s="258"/>
      <c r="I18" s="258"/>
      <c r="J18" s="258"/>
      <c r="K18" s="258"/>
      <c r="L18" s="258"/>
    </row>
    <row r="19" spans="2:17" ht="15.6" x14ac:dyDescent="0.25">
      <c r="B19" s="343"/>
      <c r="C19" s="258"/>
      <c r="D19" s="258" t="s">
        <v>735</v>
      </c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2:17" ht="15.6" x14ac:dyDescent="0.25">
      <c r="B20" s="343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</sheetData>
  <sheetProtection algorithmName="SHA-512" hashValue="cDFzihOi+k/4vf/x2os+2L/6DvoNyWOOqksWeuLIdr9uRbuAKWILO/d6TDK+qX+BlI2qToUVPc6XqmuBLKLpqA==" saltValue="70TwpsnkfJIOMaryBqMdN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5"/>
  <sheetViews>
    <sheetView rightToLeft="1" topLeftCell="A10" zoomScaleNormal="100" workbookViewId="0">
      <selection activeCell="E28" sqref="E28"/>
    </sheetView>
  </sheetViews>
  <sheetFormatPr defaultColWidth="9.109375" defaultRowHeight="13.8" x14ac:dyDescent="0.25"/>
  <cols>
    <col min="1" max="2" width="4.109375" style="253" customWidth="1"/>
    <col min="3" max="3" width="56.88671875" style="253" customWidth="1"/>
    <col min="4" max="4" width="9.109375" style="253"/>
    <col min="5" max="5" width="15.6640625" style="253" customWidth="1"/>
    <col min="6" max="8" width="9.109375" style="253"/>
    <col min="9" max="9" width="7.88671875" style="253" customWidth="1"/>
    <col min="10" max="16384" width="9.109375" style="253"/>
  </cols>
  <sheetData>
    <row r="3" spans="1:16" ht="21" x14ac:dyDescent="0.25">
      <c r="C3" s="255"/>
    </row>
    <row r="4" spans="1:16" ht="15.6" x14ac:dyDescent="0.25">
      <c r="A4" s="258" t="s">
        <v>552</v>
      </c>
      <c r="B4" s="258" t="s">
        <v>552</v>
      </c>
      <c r="C4" s="257" t="s">
        <v>567</v>
      </c>
    </row>
    <row r="5" spans="1:16" ht="15.6" x14ac:dyDescent="0.25">
      <c r="A5" s="258"/>
      <c r="B5" s="258"/>
      <c r="C5" s="257"/>
    </row>
    <row r="6" spans="1:16" ht="15.6" x14ac:dyDescent="0.25">
      <c r="A6" s="258">
        <v>1.1000000000000001</v>
      </c>
      <c r="B6" s="258"/>
      <c r="C6" s="263" t="s">
        <v>584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</row>
    <row r="7" spans="1:16" ht="15.6" x14ac:dyDescent="0.25">
      <c r="A7" s="258"/>
      <c r="B7" s="258"/>
      <c r="C7" s="258" t="s">
        <v>585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</row>
    <row r="8" spans="1:16" ht="15.6" x14ac:dyDescent="0.25">
      <c r="A8" s="258"/>
      <c r="B8" s="258"/>
      <c r="C8" s="258" t="s">
        <v>586</v>
      </c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</row>
    <row r="9" spans="1:16" ht="15.6" x14ac:dyDescent="0.25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</row>
    <row r="10" spans="1:16" ht="15.6" x14ac:dyDescent="0.25">
      <c r="A10" s="258"/>
      <c r="B10" s="258"/>
      <c r="C10" s="258" t="s">
        <v>587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</row>
    <row r="11" spans="1:16" ht="15.6" x14ac:dyDescent="0.25">
      <c r="A11" s="264"/>
      <c r="B11" s="264" t="s">
        <v>588</v>
      </c>
      <c r="C11" s="258" t="s">
        <v>769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</row>
    <row r="12" spans="1:16" ht="15.6" x14ac:dyDescent="0.25">
      <c r="A12" s="258"/>
      <c r="B12" s="264" t="s">
        <v>588</v>
      </c>
      <c r="C12" s="258" t="s">
        <v>770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</row>
    <row r="13" spans="1:16" ht="15.6" x14ac:dyDescent="0.25">
      <c r="A13" s="258"/>
      <c r="B13" s="264" t="s">
        <v>588</v>
      </c>
      <c r="C13" s="258" t="s">
        <v>589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</row>
    <row r="14" spans="1:16" ht="15.6" x14ac:dyDescent="0.25">
      <c r="A14" s="258"/>
      <c r="B14" s="258"/>
      <c r="C14" s="258" t="s">
        <v>771</v>
      </c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</row>
    <row r="15" spans="1:16" ht="15.6" x14ac:dyDescent="0.25">
      <c r="A15" s="258"/>
      <c r="B15" s="264" t="s">
        <v>588</v>
      </c>
      <c r="C15" s="258" t="s">
        <v>772</v>
      </c>
      <c r="D15" s="258"/>
      <c r="E15" s="258"/>
      <c r="F15" s="258"/>
      <c r="G15" s="258"/>
      <c r="H15" s="258"/>
      <c r="I15" s="258"/>
      <c r="J15" s="263"/>
      <c r="K15" s="258"/>
      <c r="L15" s="258"/>
      <c r="M15" s="258"/>
      <c r="N15" s="258"/>
      <c r="O15" s="258"/>
      <c r="P15" s="258"/>
    </row>
    <row r="16" spans="1:16" ht="15.6" x14ac:dyDescent="0.25">
      <c r="A16" s="258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</row>
    <row r="17" spans="1:16" ht="15.6" x14ac:dyDescent="0.25">
      <c r="A17" s="258">
        <v>1.2</v>
      </c>
      <c r="B17" s="258"/>
      <c r="C17" s="263" t="s">
        <v>590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</row>
    <row r="18" spans="1:16" ht="15.6" x14ac:dyDescent="0.25">
      <c r="A18" s="258"/>
      <c r="B18" s="258"/>
      <c r="C18" s="258" t="s">
        <v>591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</row>
    <row r="19" spans="1:16" ht="15.6" x14ac:dyDescent="0.25">
      <c r="A19" s="258"/>
      <c r="B19" s="258"/>
      <c r="C19" s="258" t="s">
        <v>592</v>
      </c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</row>
    <row r="20" spans="1:16" ht="15.6" x14ac:dyDescent="0.25">
      <c r="A20" s="258"/>
      <c r="B20" s="258"/>
      <c r="C20" s="258" t="s">
        <v>773</v>
      </c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</row>
    <row r="21" spans="1:16" ht="15.6" x14ac:dyDescent="0.25">
      <c r="A21" s="258"/>
      <c r="B21" s="258"/>
      <c r="C21" s="258" t="s">
        <v>593</v>
      </c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</row>
    <row r="22" spans="1:16" ht="15.6" x14ac:dyDescent="0.25">
      <c r="A22" s="258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</row>
    <row r="23" spans="1:16" ht="15.6" x14ac:dyDescent="0.25">
      <c r="A23" s="258">
        <v>1.3</v>
      </c>
      <c r="B23" s="258"/>
      <c r="C23" s="263" t="s">
        <v>594</v>
      </c>
      <c r="D23" s="258"/>
      <c r="E23" s="257" t="s">
        <v>768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</row>
    <row r="24" spans="1:16" ht="15.6" x14ac:dyDescent="0.25">
      <c r="A24" s="258"/>
      <c r="B24" s="258"/>
      <c r="C24" s="263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</row>
    <row r="25" spans="1:16" ht="16.2" thickBot="1" x14ac:dyDescent="0.3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</row>
    <row r="26" spans="1:16" ht="16.2" thickBot="1" x14ac:dyDescent="0.3">
      <c r="A26" s="258"/>
      <c r="B26" s="264" t="s">
        <v>588</v>
      </c>
      <c r="C26" s="258" t="s">
        <v>595</v>
      </c>
      <c r="E26" s="320">
        <f>'ריכוז אגפים'!S18/1000</f>
        <v>434621.26475999999</v>
      </c>
      <c r="K26" s="258"/>
      <c r="L26" s="258"/>
      <c r="M26" s="258"/>
      <c r="N26" s="258"/>
      <c r="O26" s="258"/>
      <c r="P26" s="258"/>
    </row>
    <row r="27" spans="1:16" ht="16.2" thickBot="1" x14ac:dyDescent="0.3">
      <c r="A27" s="258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</row>
    <row r="28" spans="1:16" ht="16.2" thickBot="1" x14ac:dyDescent="0.3">
      <c r="A28" s="258"/>
      <c r="B28" s="264" t="s">
        <v>588</v>
      </c>
      <c r="C28" s="258" t="s">
        <v>596</v>
      </c>
      <c r="E28" s="320">
        <f>'ריכוז אגפים'!L18/1000</f>
        <v>457461.70400000003</v>
      </c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</row>
    <row r="29" spans="1:16" ht="16.2" thickBot="1" x14ac:dyDescent="0.3">
      <c r="A29" s="258"/>
      <c r="B29" s="258"/>
      <c r="C29" s="258"/>
      <c r="D29" s="265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</row>
    <row r="30" spans="1:16" ht="16.2" thickBot="1" x14ac:dyDescent="0.3">
      <c r="A30" s="258"/>
      <c r="B30" s="264" t="s">
        <v>588</v>
      </c>
      <c r="C30" s="258" t="s">
        <v>611</v>
      </c>
      <c r="E30" s="320">
        <f>'ריכוז אגפים'!B18/1000</f>
        <v>3716633.8640000001</v>
      </c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</row>
    <row r="31" spans="1:16" ht="15.6" x14ac:dyDescent="0.25">
      <c r="A31" s="258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</row>
    <row r="32" spans="1:16" ht="15.6" x14ac:dyDescent="0.25">
      <c r="A32" s="258"/>
      <c r="B32" s="266"/>
      <c r="C32" s="266"/>
      <c r="D32" s="266"/>
      <c r="E32" s="266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</row>
    <row r="33" spans="1:16" ht="15.6" x14ac:dyDescent="0.25">
      <c r="A33" s="258"/>
      <c r="B33" s="264" t="s">
        <v>588</v>
      </c>
      <c r="C33" s="258" t="s">
        <v>820</v>
      </c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</row>
    <row r="34" spans="1:16" ht="15.6" x14ac:dyDescent="0.25">
      <c r="A34" s="258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</row>
    <row r="35" spans="1:16" ht="15.6" x14ac:dyDescent="0.25">
      <c r="A35" s="258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</row>
    <row r="36" spans="1:16" ht="15.6" x14ac:dyDescent="0.25">
      <c r="A36" s="258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</row>
    <row r="37" spans="1:16" ht="15.6" x14ac:dyDescent="0.25">
      <c r="A37" s="267"/>
      <c r="B37" s="26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</row>
    <row r="38" spans="1:16" ht="15.6" x14ac:dyDescent="0.25">
      <c r="A38" s="267"/>
      <c r="B38" s="267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</row>
    <row r="39" spans="1:16" ht="15.6" x14ac:dyDescent="0.25">
      <c r="A39" s="267"/>
      <c r="B39" s="26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</row>
    <row r="40" spans="1:16" ht="15.6" x14ac:dyDescent="0.25">
      <c r="A40" s="267"/>
      <c r="B40" s="26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</row>
    <row r="41" spans="1:16" ht="15.6" x14ac:dyDescent="0.25">
      <c r="A41" s="267"/>
      <c r="B41" s="267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</row>
    <row r="42" spans="1:16" ht="15.6" x14ac:dyDescent="0.25">
      <c r="A42" s="267"/>
      <c r="B42" s="26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</row>
    <row r="43" spans="1:16" ht="15.6" x14ac:dyDescent="0.25">
      <c r="A43" s="267"/>
      <c r="B43" s="26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</row>
    <row r="44" spans="1:16" ht="15.6" x14ac:dyDescent="0.25"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</row>
    <row r="45" spans="1:16" ht="15.6" x14ac:dyDescent="0.25"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</row>
  </sheetData>
  <sheetProtection algorithmName="SHA-512" hashValue="SD8tRnTpnevkC+FGdNJJ9BbE5yfnGOIwMHG/9H4bGexdzxq7ZZvbGx8USosyPCFxbOzG91sQY/MmBnt4vAXlfA==" saltValue="L9hTF7S+frxKtTVWlarx3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42"/>
  <sheetViews>
    <sheetView showZeros="0" rightToLeft="1" zoomScaleNormal="100" workbookViewId="0">
      <pane xSplit="3" ySplit="4" topLeftCell="D5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33203125" style="21" customWidth="1"/>
    <col min="4" max="5" width="12.6640625" style="19" customWidth="1"/>
    <col min="6" max="6" width="11.109375" style="19" customWidth="1"/>
    <col min="7" max="10" width="12.6640625" style="19" hidden="1" customWidth="1"/>
    <col min="11" max="11" width="11.33203125" style="19" hidden="1" customWidth="1"/>
    <col min="12" max="12" width="10.5546875" style="19" customWidth="1"/>
    <col min="13" max="13" width="10.88671875" style="19" customWidth="1"/>
    <col min="14" max="14" width="11.109375" style="19" bestFit="1" customWidth="1"/>
    <col min="15" max="15" width="10.5546875" style="19" customWidth="1"/>
    <col min="16" max="17" width="11.109375" style="19" hidden="1" customWidth="1"/>
    <col min="18" max="19" width="12" style="19" hidden="1" customWidth="1"/>
    <col min="20" max="20" width="10.33203125" style="19" hidden="1" customWidth="1"/>
    <col min="21" max="21" width="11.88671875" style="77" bestFit="1" customWidth="1"/>
    <col min="22" max="22" width="9" style="21" customWidth="1"/>
    <col min="23" max="23" width="8" style="21" customWidth="1"/>
    <col min="24" max="24" width="11.88671875" style="21" hidden="1" customWidth="1"/>
    <col min="25" max="25" width="10.109375" style="21" customWidth="1"/>
    <col min="26" max="26" width="7.88671875" style="21" hidden="1" customWidth="1"/>
    <col min="27" max="28" width="9.109375" style="21"/>
    <col min="29" max="29" width="9.109375" style="21" customWidth="1"/>
    <col min="30" max="16384" width="9.109375" style="21"/>
  </cols>
  <sheetData>
    <row r="2" spans="1:26" ht="18" x14ac:dyDescent="0.35">
      <c r="A2" s="450" t="s">
        <v>268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</row>
    <row r="4" spans="1:26" s="58" customFormat="1" ht="86.25" customHeight="1" x14ac:dyDescent="0.25">
      <c r="A4" s="5" t="s">
        <v>830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82" t="s">
        <v>492</v>
      </c>
      <c r="N4" s="5" t="s">
        <v>299</v>
      </c>
      <c r="O4" s="5" t="s">
        <v>300</v>
      </c>
      <c r="P4" s="5" t="s">
        <v>12</v>
      </c>
      <c r="Q4" s="5" t="s">
        <v>301</v>
      </c>
      <c r="R4" s="5" t="s">
        <v>302</v>
      </c>
      <c r="S4" s="5" t="s">
        <v>303</v>
      </c>
      <c r="T4" s="5" t="s">
        <v>304</v>
      </c>
      <c r="U4" s="214" t="s">
        <v>305</v>
      </c>
      <c r="V4" s="5" t="s">
        <v>13</v>
      </c>
      <c r="W4" s="5" t="s">
        <v>14</v>
      </c>
      <c r="X4" s="5" t="s">
        <v>15</v>
      </c>
      <c r="Y4" s="5" t="s">
        <v>223</v>
      </c>
      <c r="Z4" s="5" t="s">
        <v>16</v>
      </c>
    </row>
    <row r="5" spans="1:26" s="8" customFormat="1" x14ac:dyDescent="0.25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5"/>
      <c r="V5" s="7"/>
      <c r="W5" s="7"/>
      <c r="X5" s="7"/>
      <c r="Y5" s="6"/>
      <c r="Z5" s="10"/>
    </row>
    <row r="6" spans="1:26" s="9" customFormat="1" x14ac:dyDescent="0.25">
      <c r="A6" s="6">
        <f>A5+1</f>
        <v>1</v>
      </c>
      <c r="B6" s="6">
        <v>1519</v>
      </c>
      <c r="C6" s="6" t="s">
        <v>220</v>
      </c>
      <c r="D6" s="7">
        <v>2030000</v>
      </c>
      <c r="E6" s="7">
        <v>2030000</v>
      </c>
      <c r="F6" s="7">
        <f t="shared" ref="F6:F19" si="0">D6-E6</f>
        <v>0</v>
      </c>
      <c r="G6" s="7">
        <v>530000</v>
      </c>
      <c r="H6" s="7">
        <v>402516</v>
      </c>
      <c r="I6" s="7"/>
      <c r="J6" s="7"/>
      <c r="K6" s="7">
        <f>SUM(I6:J6)</f>
        <v>0</v>
      </c>
      <c r="L6" s="7">
        <f>H6+K6</f>
        <v>402516</v>
      </c>
      <c r="M6" s="7">
        <f>P6+S6</f>
        <v>127484</v>
      </c>
      <c r="N6" s="7">
        <v>200000</v>
      </c>
      <c r="O6" s="7">
        <f>D6-L6-M6-N6</f>
        <v>1300000</v>
      </c>
      <c r="P6" s="7">
        <f>G6-L6</f>
        <v>127484</v>
      </c>
      <c r="Q6" s="7"/>
      <c r="R6" s="7"/>
      <c r="S6" s="7">
        <f>SUM(Q6:R6)</f>
        <v>0</v>
      </c>
      <c r="T6" s="7">
        <f>P6-M6+S6</f>
        <v>0</v>
      </c>
      <c r="U6" s="15">
        <f>N6-T6</f>
        <v>200000</v>
      </c>
      <c r="V6" s="7">
        <f>U6-W6-X6-Y6</f>
        <v>200000</v>
      </c>
      <c r="W6" s="7"/>
      <c r="X6" s="7"/>
      <c r="Y6" s="7"/>
      <c r="Z6" s="6">
        <v>732000</v>
      </c>
    </row>
    <row r="7" spans="1:26" s="8" customFormat="1" x14ac:dyDescent="0.25">
      <c r="A7" s="6">
        <f>A6+1</f>
        <v>2</v>
      </c>
      <c r="B7" s="6">
        <v>1823</v>
      </c>
      <c r="C7" s="6" t="s">
        <v>377</v>
      </c>
      <c r="D7" s="7">
        <f>84960+65040</f>
        <v>150000</v>
      </c>
      <c r="E7" s="7">
        <v>84960</v>
      </c>
      <c r="F7" s="7">
        <f t="shared" si="0"/>
        <v>65040</v>
      </c>
      <c r="G7" s="7">
        <v>84960</v>
      </c>
      <c r="H7" s="7">
        <v>84960</v>
      </c>
      <c r="I7" s="7"/>
      <c r="J7" s="7"/>
      <c r="K7" s="7">
        <f t="shared" ref="K7:K15" si="1">SUM(I7:J7)</f>
        <v>0</v>
      </c>
      <c r="L7" s="7">
        <f t="shared" ref="L7:L15" si="2">H7+K7</f>
        <v>84960</v>
      </c>
      <c r="M7" s="7">
        <f t="shared" ref="M7:M15" si="3">P7+S7</f>
        <v>0</v>
      </c>
      <c r="N7" s="7">
        <v>65040</v>
      </c>
      <c r="O7" s="7">
        <f t="shared" ref="O7:O15" si="4">D7-L7-M7-N7</f>
        <v>0</v>
      </c>
      <c r="P7" s="7">
        <f t="shared" ref="P7:P15" si="5">G7-L7</f>
        <v>0</v>
      </c>
      <c r="Q7" s="7"/>
      <c r="R7" s="7"/>
      <c r="S7" s="7">
        <f t="shared" ref="S7:S15" si="6">SUM(Q7:R7)</f>
        <v>0</v>
      </c>
      <c r="T7" s="7">
        <f t="shared" ref="T7:T15" si="7">P7-M7+S7</f>
        <v>0</v>
      </c>
      <c r="U7" s="15">
        <f t="shared" ref="U7:U15" si="8">N7-T7</f>
        <v>65040</v>
      </c>
      <c r="V7" s="7">
        <f t="shared" ref="V7:V15" si="9">U7-W7-X7-Y7</f>
        <v>0</v>
      </c>
      <c r="W7" s="7">
        <v>65040</v>
      </c>
      <c r="X7" s="7"/>
      <c r="Y7" s="6"/>
      <c r="Z7" s="6">
        <v>742000</v>
      </c>
    </row>
    <row r="8" spans="1:26" s="8" customFormat="1" x14ac:dyDescent="0.25">
      <c r="A8" s="6">
        <f t="shared" ref="A8:A19" si="10">A7+1</f>
        <v>3</v>
      </c>
      <c r="B8" s="6">
        <v>1867</v>
      </c>
      <c r="C8" s="6" t="s">
        <v>378</v>
      </c>
      <c r="D8" s="7">
        <f>350000+370000</f>
        <v>720000</v>
      </c>
      <c r="E8" s="7">
        <v>350000</v>
      </c>
      <c r="F8" s="7">
        <f t="shared" si="0"/>
        <v>370000</v>
      </c>
      <c r="G8" s="7">
        <v>100000</v>
      </c>
      <c r="H8" s="7">
        <v>0</v>
      </c>
      <c r="I8" s="7"/>
      <c r="J8" s="7"/>
      <c r="K8" s="7">
        <f t="shared" si="1"/>
        <v>0</v>
      </c>
      <c r="L8" s="7">
        <f t="shared" si="2"/>
        <v>0</v>
      </c>
      <c r="M8" s="7">
        <f t="shared" si="3"/>
        <v>200000</v>
      </c>
      <c r="N8" s="7">
        <v>250000</v>
      </c>
      <c r="O8" s="7">
        <f t="shared" si="4"/>
        <v>270000</v>
      </c>
      <c r="P8" s="7">
        <f t="shared" si="5"/>
        <v>100000</v>
      </c>
      <c r="Q8" s="150">
        <v>100000</v>
      </c>
      <c r="R8" s="7"/>
      <c r="S8" s="7">
        <f t="shared" si="6"/>
        <v>100000</v>
      </c>
      <c r="T8" s="7">
        <f t="shared" si="7"/>
        <v>0</v>
      </c>
      <c r="U8" s="15">
        <f t="shared" si="8"/>
        <v>250000</v>
      </c>
      <c r="V8" s="7">
        <f t="shared" si="9"/>
        <v>250000</v>
      </c>
      <c r="W8" s="7"/>
      <c r="X8" s="7"/>
      <c r="Y8" s="6"/>
      <c r="Z8" s="6">
        <v>732000</v>
      </c>
    </row>
    <row r="9" spans="1:26" s="8" customFormat="1" x14ac:dyDescent="0.25">
      <c r="A9" s="6">
        <f t="shared" si="10"/>
        <v>4</v>
      </c>
      <c r="B9" s="6">
        <v>1868</v>
      </c>
      <c r="C9" s="6" t="s">
        <v>379</v>
      </c>
      <c r="D9" s="7">
        <v>650000</v>
      </c>
      <c r="E9" s="7">
        <v>650000</v>
      </c>
      <c r="F9" s="7">
        <f t="shared" si="0"/>
        <v>0</v>
      </c>
      <c r="G9" s="7">
        <v>0</v>
      </c>
      <c r="H9" s="7">
        <v>0</v>
      </c>
      <c r="I9" s="7"/>
      <c r="J9" s="7"/>
      <c r="K9" s="7">
        <f t="shared" si="1"/>
        <v>0</v>
      </c>
      <c r="L9" s="7">
        <f t="shared" si="2"/>
        <v>0</v>
      </c>
      <c r="M9" s="7">
        <f t="shared" si="3"/>
        <v>100000</v>
      </c>
      <c r="N9" s="7">
        <f>550000-550000</f>
        <v>0</v>
      </c>
      <c r="O9" s="7">
        <f t="shared" si="4"/>
        <v>550000</v>
      </c>
      <c r="P9" s="7">
        <f t="shared" si="5"/>
        <v>0</v>
      </c>
      <c r="Q9" s="150">
        <v>100000</v>
      </c>
      <c r="R9" s="7"/>
      <c r="S9" s="7">
        <f t="shared" si="6"/>
        <v>100000</v>
      </c>
      <c r="T9" s="7">
        <f t="shared" si="7"/>
        <v>0</v>
      </c>
      <c r="U9" s="15">
        <f t="shared" si="8"/>
        <v>0</v>
      </c>
      <c r="V9" s="7">
        <f t="shared" si="9"/>
        <v>0</v>
      </c>
      <c r="W9" s="7"/>
      <c r="X9" s="7"/>
      <c r="Y9" s="6"/>
      <c r="Z9" s="6">
        <v>742000</v>
      </c>
    </row>
    <row r="10" spans="1:26" s="8" customFormat="1" x14ac:dyDescent="0.25">
      <c r="A10" s="6">
        <f t="shared" si="10"/>
        <v>5</v>
      </c>
      <c r="B10" s="6">
        <v>1869</v>
      </c>
      <c r="C10" s="6" t="s">
        <v>380</v>
      </c>
      <c r="D10" s="7">
        <v>500000</v>
      </c>
      <c r="E10" s="7">
        <v>500000</v>
      </c>
      <c r="F10" s="7">
        <f t="shared" si="0"/>
        <v>0</v>
      </c>
      <c r="G10" s="7">
        <v>0</v>
      </c>
      <c r="H10" s="7">
        <v>0</v>
      </c>
      <c r="I10" s="7"/>
      <c r="J10" s="7"/>
      <c r="K10" s="7">
        <f t="shared" si="1"/>
        <v>0</v>
      </c>
      <c r="L10" s="7">
        <f t="shared" si="2"/>
        <v>0</v>
      </c>
      <c r="M10" s="7">
        <f t="shared" si="3"/>
        <v>0</v>
      </c>
      <c r="N10" s="7">
        <v>500000</v>
      </c>
      <c r="O10" s="7">
        <f t="shared" si="4"/>
        <v>0</v>
      </c>
      <c r="P10" s="7">
        <f t="shared" si="5"/>
        <v>0</v>
      </c>
      <c r="Q10" s="7"/>
      <c r="R10" s="7"/>
      <c r="S10" s="7">
        <f t="shared" si="6"/>
        <v>0</v>
      </c>
      <c r="T10" s="7">
        <f t="shared" si="7"/>
        <v>0</v>
      </c>
      <c r="U10" s="15">
        <f t="shared" si="8"/>
        <v>500000</v>
      </c>
      <c r="V10" s="7">
        <f t="shared" si="9"/>
        <v>500000</v>
      </c>
      <c r="W10" s="7"/>
      <c r="X10" s="7"/>
      <c r="Y10" s="6"/>
      <c r="Z10" s="6">
        <v>742000</v>
      </c>
    </row>
    <row r="11" spans="1:26" s="8" customFormat="1" x14ac:dyDescent="0.25">
      <c r="A11" s="6">
        <f t="shared" si="10"/>
        <v>6</v>
      </c>
      <c r="B11" s="6">
        <v>1870</v>
      </c>
      <c r="C11" s="6" t="s">
        <v>383</v>
      </c>
      <c r="D11" s="7">
        <v>7230000</v>
      </c>
      <c r="E11" s="7">
        <v>6830000</v>
      </c>
      <c r="F11" s="7">
        <f t="shared" si="0"/>
        <v>400000</v>
      </c>
      <c r="G11" s="7">
        <v>4000000</v>
      </c>
      <c r="H11" s="7">
        <v>3637515.38</v>
      </c>
      <c r="I11" s="7"/>
      <c r="J11" s="7"/>
      <c r="K11" s="7">
        <f t="shared" si="1"/>
        <v>0</v>
      </c>
      <c r="L11" s="7">
        <f t="shared" si="2"/>
        <v>3637515.38</v>
      </c>
      <c r="M11" s="7">
        <f t="shared" si="3"/>
        <v>1862484.62</v>
      </c>
      <c r="N11" s="7">
        <v>1730000</v>
      </c>
      <c r="O11" s="7">
        <f t="shared" si="4"/>
        <v>0</v>
      </c>
      <c r="P11" s="7">
        <f t="shared" si="5"/>
        <v>362484.62000000011</v>
      </c>
      <c r="Q11" s="7"/>
      <c r="R11" s="204">
        <v>1500000</v>
      </c>
      <c r="S11" s="7">
        <f t="shared" si="6"/>
        <v>1500000</v>
      </c>
      <c r="T11" s="7">
        <f t="shared" si="7"/>
        <v>0</v>
      </c>
      <c r="U11" s="15">
        <f t="shared" si="8"/>
        <v>1730000</v>
      </c>
      <c r="V11" s="7">
        <f t="shared" si="9"/>
        <v>1730000</v>
      </c>
      <c r="W11" s="7"/>
      <c r="X11" s="7"/>
      <c r="Y11" s="6"/>
      <c r="Z11" s="6">
        <v>742000</v>
      </c>
    </row>
    <row r="12" spans="1:26" s="8" customFormat="1" x14ac:dyDescent="0.25">
      <c r="A12" s="6">
        <f t="shared" si="10"/>
        <v>7</v>
      </c>
      <c r="B12" s="6">
        <v>1920</v>
      </c>
      <c r="C12" s="6" t="s">
        <v>381</v>
      </c>
      <c r="D12" s="7">
        <v>400000</v>
      </c>
      <c r="E12" s="7">
        <v>300000</v>
      </c>
      <c r="F12" s="7">
        <f t="shared" si="0"/>
        <v>100000</v>
      </c>
      <c r="G12" s="7">
        <v>0</v>
      </c>
      <c r="H12" s="7">
        <v>0</v>
      </c>
      <c r="I12" s="7"/>
      <c r="J12" s="7"/>
      <c r="K12" s="7">
        <f t="shared" si="1"/>
        <v>0</v>
      </c>
      <c r="L12" s="7">
        <f t="shared" si="2"/>
        <v>0</v>
      </c>
      <c r="M12" s="7">
        <f t="shared" si="3"/>
        <v>300000</v>
      </c>
      <c r="N12" s="7">
        <f>200000-100000</f>
        <v>100000</v>
      </c>
      <c r="O12" s="7">
        <f t="shared" si="4"/>
        <v>0</v>
      </c>
      <c r="P12" s="7">
        <f t="shared" si="5"/>
        <v>0</v>
      </c>
      <c r="Q12" s="7"/>
      <c r="R12" s="199">
        <f>50000+250000</f>
        <v>300000</v>
      </c>
      <c r="S12" s="7">
        <f t="shared" si="6"/>
        <v>300000</v>
      </c>
      <c r="T12" s="7">
        <f t="shared" si="7"/>
        <v>0</v>
      </c>
      <c r="U12" s="15">
        <f t="shared" si="8"/>
        <v>100000</v>
      </c>
      <c r="V12" s="7">
        <f t="shared" si="9"/>
        <v>100000</v>
      </c>
      <c r="W12" s="7"/>
      <c r="X12" s="7"/>
      <c r="Y12" s="6"/>
      <c r="Z12" s="6">
        <v>747000</v>
      </c>
    </row>
    <row r="13" spans="1:26" s="8" customFormat="1" x14ac:dyDescent="0.25">
      <c r="A13" s="6">
        <f t="shared" si="10"/>
        <v>8</v>
      </c>
      <c r="B13" s="6">
        <v>1932</v>
      </c>
      <c r="C13" s="6" t="s">
        <v>382</v>
      </c>
      <c r="D13" s="7">
        <v>5000000</v>
      </c>
      <c r="E13" s="7">
        <v>5000000</v>
      </c>
      <c r="F13" s="7">
        <f t="shared" si="0"/>
        <v>0</v>
      </c>
      <c r="G13" s="7">
        <v>0</v>
      </c>
      <c r="H13" s="7">
        <v>0</v>
      </c>
      <c r="I13" s="7"/>
      <c r="J13" s="7"/>
      <c r="K13" s="7">
        <f>SUM(I13:J13)</f>
        <v>0</v>
      </c>
      <c r="L13" s="7">
        <f>H13+K13</f>
        <v>0</v>
      </c>
      <c r="M13" s="7">
        <f>P13+S13</f>
        <v>100000</v>
      </c>
      <c r="N13" s="7">
        <f>5000000-100000</f>
        <v>4900000</v>
      </c>
      <c r="O13" s="7">
        <f>D13-L13-M13-N13</f>
        <v>0</v>
      </c>
      <c r="P13" s="7">
        <f>G13-L13</f>
        <v>0</v>
      </c>
      <c r="Q13" s="7"/>
      <c r="R13" s="199">
        <v>100000</v>
      </c>
      <c r="S13" s="7">
        <f>SUM(Q13:R13)</f>
        <v>100000</v>
      </c>
      <c r="T13" s="7">
        <f>P13-M13+S13</f>
        <v>0</v>
      </c>
      <c r="U13" s="15">
        <f>N13-T13</f>
        <v>4900000</v>
      </c>
      <c r="V13" s="7">
        <f>U13-W13-X13-Y13</f>
        <v>0</v>
      </c>
      <c r="W13" s="7"/>
      <c r="X13" s="7"/>
      <c r="Y13" s="7">
        <v>4900000</v>
      </c>
      <c r="Z13" s="6">
        <v>746000</v>
      </c>
    </row>
    <row r="14" spans="1:26" s="8" customFormat="1" ht="15.6" x14ac:dyDescent="0.3">
      <c r="A14" s="6">
        <f t="shared" si="10"/>
        <v>9</v>
      </c>
      <c r="B14" s="145">
        <v>1934</v>
      </c>
      <c r="C14" s="146" t="s">
        <v>484</v>
      </c>
      <c r="D14" s="147">
        <v>1300000</v>
      </c>
      <c r="E14" s="147">
        <v>1300000</v>
      </c>
      <c r="F14" s="7">
        <f t="shared" si="0"/>
        <v>0</v>
      </c>
      <c r="G14" s="7">
        <v>1000000</v>
      </c>
      <c r="H14" s="7">
        <v>456674.4</v>
      </c>
      <c r="I14" s="7"/>
      <c r="J14" s="7"/>
      <c r="K14" s="7">
        <f>SUM(I14:J14)</f>
        <v>0</v>
      </c>
      <c r="L14" s="7">
        <f>H14+K14</f>
        <v>456674.4</v>
      </c>
      <c r="M14" s="7">
        <f>P14+S14</f>
        <v>843325.6</v>
      </c>
      <c r="N14" s="7"/>
      <c r="O14" s="7">
        <f>D14-L14-M14-N14</f>
        <v>0</v>
      </c>
      <c r="P14" s="7">
        <f>G14-L14</f>
        <v>543325.6</v>
      </c>
      <c r="Q14" s="7"/>
      <c r="R14" s="199">
        <v>300000</v>
      </c>
      <c r="S14" s="7">
        <f>SUM(Q14:R14)</f>
        <v>300000</v>
      </c>
      <c r="T14" s="7">
        <f>P14-M14+S14</f>
        <v>0</v>
      </c>
      <c r="U14" s="15">
        <f>N14-T14</f>
        <v>0</v>
      </c>
      <c r="V14" s="7">
        <f>U14-W14-X14-Y14</f>
        <v>0</v>
      </c>
      <c r="W14" s="7"/>
      <c r="X14" s="7"/>
      <c r="Y14" s="6"/>
      <c r="Z14" s="6">
        <v>742000</v>
      </c>
    </row>
    <row r="15" spans="1:26" s="8" customFormat="1" ht="15.6" x14ac:dyDescent="0.3">
      <c r="A15" s="6">
        <f t="shared" si="10"/>
        <v>10</v>
      </c>
      <c r="B15" s="145">
        <v>1939</v>
      </c>
      <c r="C15" s="146" t="s">
        <v>485</v>
      </c>
      <c r="D15" s="147">
        <v>500000</v>
      </c>
      <c r="E15" s="147">
        <v>500000</v>
      </c>
      <c r="F15" s="7">
        <f t="shared" si="0"/>
        <v>0</v>
      </c>
      <c r="G15" s="7">
        <v>0</v>
      </c>
      <c r="H15" s="7">
        <v>0</v>
      </c>
      <c r="I15" s="7"/>
      <c r="J15" s="7"/>
      <c r="K15" s="7">
        <f t="shared" si="1"/>
        <v>0</v>
      </c>
      <c r="L15" s="7">
        <f t="shared" si="2"/>
        <v>0</v>
      </c>
      <c r="M15" s="7">
        <f t="shared" si="3"/>
        <v>500000</v>
      </c>
      <c r="N15" s="7"/>
      <c r="O15" s="7">
        <f t="shared" si="4"/>
        <v>0</v>
      </c>
      <c r="P15" s="7">
        <f t="shared" si="5"/>
        <v>0</v>
      </c>
      <c r="Q15" s="7"/>
      <c r="R15" s="7">
        <v>500000</v>
      </c>
      <c r="S15" s="7">
        <f t="shared" si="6"/>
        <v>500000</v>
      </c>
      <c r="T15" s="7">
        <f t="shared" si="7"/>
        <v>0</v>
      </c>
      <c r="U15" s="15">
        <f t="shared" si="8"/>
        <v>0</v>
      </c>
      <c r="V15" s="7">
        <f t="shared" si="9"/>
        <v>0</v>
      </c>
      <c r="W15" s="7"/>
      <c r="X15" s="7"/>
      <c r="Y15" s="6"/>
      <c r="Z15" s="6">
        <v>724000</v>
      </c>
    </row>
    <row r="16" spans="1:26" s="8" customFormat="1" ht="15.6" x14ac:dyDescent="0.25">
      <c r="A16" s="6">
        <f t="shared" si="10"/>
        <v>11</v>
      </c>
      <c r="B16" s="378">
        <v>1941</v>
      </c>
      <c r="C16" s="146" t="s">
        <v>486</v>
      </c>
      <c r="D16" s="147">
        <v>775000</v>
      </c>
      <c r="E16" s="147">
        <v>775000</v>
      </c>
      <c r="F16" s="7">
        <f t="shared" si="0"/>
        <v>0</v>
      </c>
      <c r="G16" s="7">
        <v>0</v>
      </c>
      <c r="H16" s="7">
        <v>0</v>
      </c>
      <c r="I16" s="7"/>
      <c r="J16" s="7"/>
      <c r="K16" s="7">
        <f>SUM(I16:J16)</f>
        <v>0</v>
      </c>
      <c r="L16" s="7">
        <f>H16+K16</f>
        <v>0</v>
      </c>
      <c r="M16" s="7">
        <f>P16+S16</f>
        <v>350000</v>
      </c>
      <c r="N16" s="7">
        <v>425000</v>
      </c>
      <c r="O16" s="7">
        <f>D16-L16-M16-N16</f>
        <v>0</v>
      </c>
      <c r="P16" s="7">
        <f>G16-L16</f>
        <v>0</v>
      </c>
      <c r="Q16" s="7"/>
      <c r="R16" s="7">
        <v>350000</v>
      </c>
      <c r="S16" s="7">
        <f>SUM(Q16:R16)</f>
        <v>350000</v>
      </c>
      <c r="T16" s="7">
        <f>P16-M16+S16</f>
        <v>0</v>
      </c>
      <c r="U16" s="15">
        <f>N16-T16</f>
        <v>425000</v>
      </c>
      <c r="V16" s="7">
        <f>U16-W16-X16-Y16</f>
        <v>425000</v>
      </c>
      <c r="W16" s="7"/>
      <c r="X16" s="7"/>
      <c r="Y16" s="6"/>
      <c r="Z16" s="6">
        <v>732000</v>
      </c>
    </row>
    <row r="17" spans="1:26" s="8" customFormat="1" ht="15.6" x14ac:dyDescent="0.3">
      <c r="A17" s="6">
        <f>A16+1</f>
        <v>12</v>
      </c>
      <c r="B17" s="145">
        <v>1979</v>
      </c>
      <c r="C17" s="146" t="s">
        <v>489</v>
      </c>
      <c r="D17" s="147">
        <v>195000</v>
      </c>
      <c r="E17" s="147"/>
      <c r="F17" s="7">
        <f t="shared" si="0"/>
        <v>195000</v>
      </c>
      <c r="G17" s="7">
        <v>0</v>
      </c>
      <c r="H17" s="7">
        <v>0</v>
      </c>
      <c r="I17" s="7"/>
      <c r="J17" s="7"/>
      <c r="K17" s="7">
        <f>SUM(I17:J17)</f>
        <v>0</v>
      </c>
      <c r="L17" s="7">
        <f>H17+K17</f>
        <v>0</v>
      </c>
      <c r="M17" s="7">
        <f>P17+S17</f>
        <v>0</v>
      </c>
      <c r="N17" s="7">
        <v>195000</v>
      </c>
      <c r="O17" s="7">
        <f>D17-L17-M17-N17</f>
        <v>0</v>
      </c>
      <c r="P17" s="7">
        <f>G17-L17</f>
        <v>0</v>
      </c>
      <c r="Q17" s="7"/>
      <c r="R17" s="7"/>
      <c r="S17" s="7">
        <f>SUM(Q17:R17)</f>
        <v>0</v>
      </c>
      <c r="T17" s="7">
        <f>P17-M17+S17</f>
        <v>0</v>
      </c>
      <c r="U17" s="15">
        <f>N17-T17</f>
        <v>195000</v>
      </c>
      <c r="V17" s="7">
        <f>U17-W17-X17-Y17</f>
        <v>195000</v>
      </c>
      <c r="W17" s="7"/>
      <c r="X17" s="7"/>
      <c r="Y17" s="6"/>
      <c r="Z17" s="6">
        <v>732000</v>
      </c>
    </row>
    <row r="18" spans="1:26" s="8" customFormat="1" ht="31.2" x14ac:dyDescent="0.3">
      <c r="A18" s="6">
        <f t="shared" si="10"/>
        <v>13</v>
      </c>
      <c r="B18" s="145">
        <v>1980</v>
      </c>
      <c r="C18" s="146" t="s">
        <v>746</v>
      </c>
      <c r="D18" s="147">
        <v>1150000</v>
      </c>
      <c r="E18" s="147"/>
      <c r="F18" s="7">
        <f t="shared" si="0"/>
        <v>1150000</v>
      </c>
      <c r="G18" s="7">
        <v>0</v>
      </c>
      <c r="H18" s="7">
        <v>0</v>
      </c>
      <c r="I18" s="7"/>
      <c r="J18" s="7"/>
      <c r="K18" s="7">
        <f>SUM(I18:J18)</f>
        <v>0</v>
      </c>
      <c r="L18" s="7">
        <f>H18+K18</f>
        <v>0</v>
      </c>
      <c r="M18" s="7">
        <f>P18+S18</f>
        <v>0</v>
      </c>
      <c r="N18" s="7">
        <f>850000</f>
        <v>850000</v>
      </c>
      <c r="O18" s="7">
        <f>D18-L18-M18-N18</f>
        <v>300000</v>
      </c>
      <c r="P18" s="7">
        <f>G18-L18</f>
        <v>0</v>
      </c>
      <c r="Q18" s="7"/>
      <c r="R18" s="7"/>
      <c r="S18" s="7">
        <f>SUM(Q18:R18)</f>
        <v>0</v>
      </c>
      <c r="T18" s="7">
        <f>P18-M18+S18</f>
        <v>0</v>
      </c>
      <c r="U18" s="15">
        <f>N18-T18</f>
        <v>850000</v>
      </c>
      <c r="V18" s="7">
        <f>U18-W18-X18-Y18</f>
        <v>850000</v>
      </c>
      <c r="W18" s="7"/>
      <c r="X18" s="7"/>
      <c r="Y18" s="6"/>
      <c r="Z18" s="6">
        <v>732000</v>
      </c>
    </row>
    <row r="19" spans="1:26" s="8" customFormat="1" ht="15.6" x14ac:dyDescent="0.3">
      <c r="A19" s="6">
        <f t="shared" si="10"/>
        <v>14</v>
      </c>
      <c r="B19" s="145">
        <v>1981</v>
      </c>
      <c r="C19" s="146" t="s">
        <v>490</v>
      </c>
      <c r="D19" s="147">
        <v>980000</v>
      </c>
      <c r="E19" s="147"/>
      <c r="F19" s="7">
        <f t="shared" si="0"/>
        <v>980000</v>
      </c>
      <c r="G19" s="7">
        <v>0</v>
      </c>
      <c r="H19" s="7">
        <v>0</v>
      </c>
      <c r="I19" s="7"/>
      <c r="J19" s="7"/>
      <c r="K19" s="7">
        <f>SUM(I19:J19)</f>
        <v>0</v>
      </c>
      <c r="L19" s="7">
        <f>H19+K19</f>
        <v>0</v>
      </c>
      <c r="M19" s="7">
        <f>P19+S19</f>
        <v>0</v>
      </c>
      <c r="N19" s="7">
        <v>960000</v>
      </c>
      <c r="O19" s="7">
        <f>D19-L19-M19-N19</f>
        <v>20000</v>
      </c>
      <c r="P19" s="7">
        <f>G19-L19</f>
        <v>0</v>
      </c>
      <c r="Q19" s="7"/>
      <c r="R19" s="7"/>
      <c r="S19" s="7">
        <f>SUM(Q19:R19)</f>
        <v>0</v>
      </c>
      <c r="T19" s="7">
        <f>P19-M19+S19</f>
        <v>0</v>
      </c>
      <c r="U19" s="15">
        <f>N19-T19</f>
        <v>960000</v>
      </c>
      <c r="V19" s="7">
        <f>U19-W19-X19-Y19</f>
        <v>960000</v>
      </c>
      <c r="W19" s="7"/>
      <c r="X19" s="7"/>
      <c r="Y19" s="6"/>
      <c r="Z19" s="6">
        <v>732000</v>
      </c>
    </row>
    <row r="20" spans="1:26" s="8" customFormat="1" ht="15.6" x14ac:dyDescent="0.25">
      <c r="A20" s="3">
        <f>A19</f>
        <v>14</v>
      </c>
      <c r="B20" s="11" t="s">
        <v>102</v>
      </c>
      <c r="C20" s="11" t="s">
        <v>221</v>
      </c>
      <c r="D20" s="12">
        <f>SUM(D6:D19)</f>
        <v>21580000</v>
      </c>
      <c r="E20" s="12">
        <f t="shared" ref="E20:Y20" si="11">SUM(E6:E19)</f>
        <v>18319960</v>
      </c>
      <c r="F20" s="12">
        <f t="shared" si="11"/>
        <v>3260040</v>
      </c>
      <c r="G20" s="12">
        <f t="shared" si="11"/>
        <v>5714960</v>
      </c>
      <c r="H20" s="12">
        <f t="shared" si="11"/>
        <v>4581665.78</v>
      </c>
      <c r="I20" s="12">
        <f t="shared" si="11"/>
        <v>0</v>
      </c>
      <c r="J20" s="12">
        <f t="shared" si="11"/>
        <v>0</v>
      </c>
      <c r="K20" s="12">
        <f t="shared" si="11"/>
        <v>0</v>
      </c>
      <c r="L20" s="12">
        <f t="shared" si="11"/>
        <v>4581665.78</v>
      </c>
      <c r="M20" s="12">
        <f t="shared" si="11"/>
        <v>4383294.2200000007</v>
      </c>
      <c r="N20" s="12">
        <f t="shared" si="11"/>
        <v>10175040</v>
      </c>
      <c r="O20" s="12">
        <f t="shared" si="11"/>
        <v>2440000</v>
      </c>
      <c r="P20" s="12">
        <f t="shared" si="11"/>
        <v>1133294.2200000002</v>
      </c>
      <c r="Q20" s="12">
        <f t="shared" si="11"/>
        <v>200000</v>
      </c>
      <c r="R20" s="12">
        <f t="shared" si="11"/>
        <v>3050000</v>
      </c>
      <c r="S20" s="12">
        <f t="shared" si="11"/>
        <v>3250000</v>
      </c>
      <c r="T20" s="12">
        <f t="shared" si="11"/>
        <v>0</v>
      </c>
      <c r="U20" s="12">
        <f t="shared" si="11"/>
        <v>10175040</v>
      </c>
      <c r="V20" s="12">
        <f t="shared" si="11"/>
        <v>5210000</v>
      </c>
      <c r="W20" s="12">
        <f t="shared" si="11"/>
        <v>65040</v>
      </c>
      <c r="X20" s="12">
        <f t="shared" si="11"/>
        <v>0</v>
      </c>
      <c r="Y20" s="12">
        <f t="shared" si="11"/>
        <v>4900000</v>
      </c>
      <c r="Z20" s="12"/>
    </row>
    <row r="21" spans="1:26" s="8" customFormat="1" x14ac:dyDescent="0.25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>D21-L21-M21-N21</f>
        <v>0</v>
      </c>
      <c r="P21" s="7"/>
      <c r="Q21" s="7"/>
      <c r="R21" s="7"/>
      <c r="S21" s="7"/>
      <c r="T21" s="7">
        <f>P21-M21+R21</f>
        <v>0</v>
      </c>
      <c r="U21" s="15">
        <f>N21-T21</f>
        <v>0</v>
      </c>
      <c r="V21" s="7"/>
      <c r="W21" s="7"/>
      <c r="X21" s="7"/>
      <c r="Y21" s="6"/>
      <c r="Z21" s="6"/>
    </row>
    <row r="22" spans="1:26" s="8" customFormat="1" x14ac:dyDescent="0.25">
      <c r="A22" s="54"/>
      <c r="B22" s="54"/>
      <c r="C22" s="54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227"/>
      <c r="V22" s="148"/>
      <c r="W22" s="148"/>
      <c r="X22" s="148"/>
      <c r="Y22" s="54"/>
      <c r="Z22" s="54"/>
    </row>
    <row r="23" spans="1:26" hidden="1" x14ac:dyDescent="0.25">
      <c r="M23" s="68">
        <f>P20+S20</f>
        <v>4383294.2200000007</v>
      </c>
      <c r="P23" s="68">
        <f>G20-L20</f>
        <v>1133294.2199999997</v>
      </c>
    </row>
    <row r="24" spans="1:26" hidden="1" x14ac:dyDescent="0.25">
      <c r="M24" s="63"/>
      <c r="P24" s="63"/>
    </row>
    <row r="25" spans="1:26" hidden="1" x14ac:dyDescent="0.25">
      <c r="M25" s="63"/>
      <c r="P25" s="63" t="s">
        <v>525</v>
      </c>
      <c r="Q25" s="19">
        <f>'[1]החברה לתיירות '!$AY$25</f>
        <v>200000</v>
      </c>
    </row>
    <row r="26" spans="1:26" hidden="1" x14ac:dyDescent="0.25">
      <c r="M26" s="63"/>
      <c r="P26" s="63"/>
    </row>
    <row r="27" spans="1:26" hidden="1" x14ac:dyDescent="0.25">
      <c r="M27" s="63"/>
      <c r="P27" s="63" t="s">
        <v>518</v>
      </c>
      <c r="Q27" s="19">
        <f>'[3]החברה לתיירות '!$AZ$24</f>
        <v>200000</v>
      </c>
    </row>
    <row r="28" spans="1:26" hidden="1" x14ac:dyDescent="0.25">
      <c r="M28" s="63"/>
      <c r="P28" s="63"/>
    </row>
    <row r="29" spans="1:26" hidden="1" x14ac:dyDescent="0.25">
      <c r="R29" s="19">
        <f>'[1]ריכוז תקציבים מעבר לתוכנית 31.8'!$AD$155</f>
        <v>2750000</v>
      </c>
    </row>
    <row r="30" spans="1:26" hidden="1" x14ac:dyDescent="0.25">
      <c r="R30" s="19">
        <f>'[1]ריכוז תקציבים מעבר לתוכנית 31.8'!$AD$53</f>
        <v>300000</v>
      </c>
      <c r="S30" s="19" t="s">
        <v>488</v>
      </c>
      <c r="T30" s="19" t="s">
        <v>487</v>
      </c>
    </row>
    <row r="31" spans="1:26" hidden="1" x14ac:dyDescent="0.25">
      <c r="R31" s="19">
        <f>SUM(R29:R30)</f>
        <v>3050000</v>
      </c>
    </row>
    <row r="32" spans="1:26" hidden="1" x14ac:dyDescent="0.25"/>
    <row r="33" spans="16:19" hidden="1" x14ac:dyDescent="0.25"/>
    <row r="34" spans="16:19" hidden="1" x14ac:dyDescent="0.25"/>
    <row r="35" spans="16:19" hidden="1" x14ac:dyDescent="0.25">
      <c r="P35" s="19" t="s">
        <v>522</v>
      </c>
      <c r="R35" s="205">
        <v>1500000</v>
      </c>
      <c r="S35" s="19" t="s">
        <v>222</v>
      </c>
    </row>
    <row r="36" spans="16:19" hidden="1" x14ac:dyDescent="0.25">
      <c r="P36" s="19" t="s">
        <v>517</v>
      </c>
      <c r="R36" s="19">
        <v>700000</v>
      </c>
    </row>
    <row r="37" spans="16:19" hidden="1" x14ac:dyDescent="0.25">
      <c r="R37" s="19">
        <f>SUM(R35:R36)</f>
        <v>2200000</v>
      </c>
    </row>
    <row r="38" spans="16:19" hidden="1" x14ac:dyDescent="0.25">
      <c r="P38" s="19" t="s">
        <v>531</v>
      </c>
      <c r="R38" s="19">
        <f>R20-R37</f>
        <v>850000</v>
      </c>
    </row>
    <row r="39" spans="16:19" hidden="1" x14ac:dyDescent="0.25">
      <c r="R39" s="19">
        <f>R16+R15</f>
        <v>850000</v>
      </c>
      <c r="S39" s="19" t="s">
        <v>534</v>
      </c>
    </row>
    <row r="40" spans="16:19" hidden="1" x14ac:dyDescent="0.25"/>
    <row r="41" spans="16:19" hidden="1" x14ac:dyDescent="0.25"/>
    <row r="42" spans="16:19" hidden="1" x14ac:dyDescent="0.25"/>
  </sheetData>
  <sheetProtection algorithmName="SHA-512" hashValue="xEnCLpROrqzgX4LyVxGAUiJm2kah/0yC2Ur31F+YH5j9ahgU+YlMH7B7TLZiC812duzTHKNH3Z0T1GHfR1tRwg==" saltValue="1JyRFSyGg2ITP1OfIAUqRQ==" spinCount="100000" sheet="1" formatCells="0" formatColumns="0" formatRows="0" insertColumns="0" insertRows="0" insertHyperlinks="0" deleteColumns="0" deleteRows="0" sort="0" autoFilter="0" pivotTables="0"/>
  <sortState ref="A7:AC22">
    <sortCondition ref="B7:B22"/>
  </sortState>
  <mergeCells count="1">
    <mergeCell ref="A2:W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6" spans="1:17" ht="21" x14ac:dyDescent="0.25">
      <c r="A6" s="258"/>
      <c r="C6" s="255" t="s">
        <v>738</v>
      </c>
      <c r="D6" s="258"/>
      <c r="E6" s="258"/>
      <c r="F6" s="258"/>
      <c r="G6" s="258"/>
      <c r="H6" s="258"/>
      <c r="I6" s="258"/>
      <c r="J6" s="258"/>
      <c r="K6" s="258"/>
      <c r="L6" s="258"/>
    </row>
    <row r="7" spans="1:17" ht="21.6" thickBot="1" x14ac:dyDescent="0.3">
      <c r="A7" s="258"/>
      <c r="C7" s="255"/>
      <c r="D7" s="258"/>
      <c r="E7" s="258"/>
      <c r="F7" s="258"/>
      <c r="G7" s="258"/>
      <c r="H7" s="258"/>
      <c r="I7" s="258"/>
      <c r="J7" s="258"/>
      <c r="K7" s="258"/>
      <c r="L7" s="258"/>
    </row>
    <row r="8" spans="1:17" ht="16.2" thickBot="1" x14ac:dyDescent="0.3">
      <c r="A8" s="258"/>
      <c r="B8" s="343" t="s">
        <v>588</v>
      </c>
      <c r="C8" s="258" t="s">
        <v>731</v>
      </c>
      <c r="D8" s="258"/>
      <c r="E8" s="258"/>
      <c r="F8" s="360">
        <f>'פרוט מחשוב '!U17</f>
        <v>4697999.76</v>
      </c>
      <c r="I8" s="258"/>
      <c r="J8" s="258"/>
      <c r="K8" s="258"/>
      <c r="L8" s="258"/>
    </row>
    <row r="9" spans="1:17" ht="21" x14ac:dyDescent="0.25">
      <c r="A9" s="258"/>
      <c r="C9" s="255"/>
      <c r="D9" s="258"/>
      <c r="E9" s="258"/>
      <c r="F9" s="258"/>
      <c r="H9" s="258"/>
      <c r="I9" s="258"/>
      <c r="J9" s="258"/>
      <c r="K9" s="258"/>
      <c r="L9" s="258"/>
    </row>
    <row r="10" spans="1:17" ht="15.6" x14ac:dyDescent="0.25">
      <c r="B10" s="343" t="s">
        <v>588</v>
      </c>
      <c r="C10" s="258" t="s">
        <v>698</v>
      </c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7" ht="16.2" thickBot="1" x14ac:dyDescent="0.3"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D12" s="359" t="s">
        <v>571</v>
      </c>
      <c r="E12" s="353" t="s">
        <v>693</v>
      </c>
      <c r="F12" s="352" t="s">
        <v>697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C13" s="343"/>
      <c r="D13" s="351" t="s">
        <v>13</v>
      </c>
      <c r="E13" s="365">
        <f>'פרוט מחשוב '!V17</f>
        <v>2500000</v>
      </c>
      <c r="F13" s="362">
        <f>E13/$E$15</f>
        <v>0.53214136392378197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C14" s="343"/>
      <c r="D14" s="351" t="s">
        <v>14</v>
      </c>
      <c r="E14" s="365">
        <f>'פרוט מחשוב '!W17</f>
        <v>2197999.7599999998</v>
      </c>
      <c r="F14" s="362">
        <f>E14/$E$15</f>
        <v>0.46785863607621808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</row>
    <row r="15" spans="1:17" ht="16.2" thickBot="1" x14ac:dyDescent="0.3">
      <c r="C15" s="343"/>
      <c r="D15" s="350" t="s">
        <v>248</v>
      </c>
      <c r="E15" s="420">
        <f>SUM(E13:E14)</f>
        <v>4697999.76</v>
      </c>
      <c r="F15" s="408">
        <f>SUM(F13:F14)</f>
        <v>1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B16" s="343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5.6" x14ac:dyDescent="0.25">
      <c r="B17" s="343" t="s">
        <v>588</v>
      </c>
      <c r="C17" s="258" t="s">
        <v>706</v>
      </c>
      <c r="D17" s="258"/>
      <c r="F17" s="258"/>
      <c r="H17" s="265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1:17" ht="15.6" x14ac:dyDescent="0.25">
      <c r="C18" s="258"/>
      <c r="D18" s="258" t="s">
        <v>740</v>
      </c>
      <c r="E18" s="258"/>
      <c r="F18" s="258"/>
      <c r="H18" s="258"/>
      <c r="I18" s="258"/>
      <c r="J18" s="258"/>
      <c r="K18" s="258"/>
      <c r="L18" s="258"/>
    </row>
    <row r="19" spans="1:17" ht="15.6" x14ac:dyDescent="0.25">
      <c r="B19" s="343"/>
      <c r="C19" s="258"/>
      <c r="D19" s="258" t="s">
        <v>741</v>
      </c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</row>
    <row r="20" spans="1:17" ht="15.6" x14ac:dyDescent="0.25">
      <c r="B20" s="343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  <row r="21" spans="1:17" ht="15.6" x14ac:dyDescent="0.25">
      <c r="C21" s="343" t="s">
        <v>588</v>
      </c>
      <c r="D21" s="258" t="s">
        <v>704</v>
      </c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</row>
    <row r="22" spans="1:17" ht="15.6" x14ac:dyDescent="0.25">
      <c r="A22" s="258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5.6" x14ac:dyDescent="0.25">
      <c r="A23" s="258"/>
      <c r="B23" s="258"/>
      <c r="C23" s="258"/>
      <c r="D23" s="258" t="s">
        <v>798</v>
      </c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</sheetData>
  <sheetProtection algorithmName="SHA-512" hashValue="xxSuhfeSlyAGvexWj0tQbNeYGjurSb9BYpm71dqwwfaLCqDvDXd9z1gpDJR6JysjIev1zuNI7lLtlADIz9j5gQ==" saltValue="+jmMHM22qzWZV5KDRw0y1g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7"/>
  <sheetViews>
    <sheetView rightToLeft="1" workbookViewId="0">
      <pane xSplit="3" ySplit="5" topLeftCell="D6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133" customWidth="1"/>
    <col min="2" max="2" width="6.6640625" style="132" customWidth="1"/>
    <col min="3" max="3" width="28.5546875" style="132" customWidth="1"/>
    <col min="4" max="5" width="12.6640625" style="144" customWidth="1"/>
    <col min="6" max="6" width="11.109375" style="144" customWidth="1"/>
    <col min="7" max="10" width="12.6640625" style="144" hidden="1" customWidth="1"/>
    <col min="11" max="11" width="11.33203125" style="144" hidden="1" customWidth="1"/>
    <col min="12" max="12" width="11.44140625" style="144" customWidth="1"/>
    <col min="13" max="13" width="10.33203125" style="144" customWidth="1"/>
    <col min="14" max="14" width="11.109375" style="144" bestFit="1" customWidth="1"/>
    <col min="15" max="15" width="10.109375" style="144" customWidth="1"/>
    <col min="16" max="17" width="11.109375" style="144" hidden="1" customWidth="1"/>
    <col min="18" max="19" width="12" style="144" hidden="1" customWidth="1"/>
    <col min="20" max="20" width="8.6640625" style="144" customWidth="1"/>
    <col min="21" max="21" width="11.88671875" style="132" bestFit="1" customWidth="1"/>
    <col min="22" max="22" width="9" style="132" customWidth="1"/>
    <col min="23" max="23" width="11.88671875" style="132" customWidth="1"/>
    <col min="24" max="24" width="6" style="132" hidden="1" customWidth="1"/>
    <col min="25" max="25" width="4" style="132" hidden="1" customWidth="1"/>
    <col min="26" max="26" width="7.88671875" style="132" hidden="1" customWidth="1"/>
    <col min="27" max="27" width="9.109375" style="132" customWidth="1"/>
    <col min="28" max="16384" width="9.109375" style="131"/>
  </cols>
  <sheetData>
    <row r="2" spans="1:27" ht="18" x14ac:dyDescent="0.35">
      <c r="A2" s="452" t="s">
        <v>270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</row>
    <row r="4" spans="1:27" ht="69" x14ac:dyDescent="0.25">
      <c r="A4" s="134" t="s">
        <v>830</v>
      </c>
      <c r="B4" s="134" t="s">
        <v>1</v>
      </c>
      <c r="C4" s="134" t="s">
        <v>2</v>
      </c>
      <c r="D4" s="134" t="s">
        <v>3</v>
      </c>
      <c r="E4" s="134" t="s">
        <v>4</v>
      </c>
      <c r="F4" s="134" t="s">
        <v>5</v>
      </c>
      <c r="G4" s="134" t="s">
        <v>6</v>
      </c>
      <c r="H4" s="134" t="s">
        <v>7</v>
      </c>
      <c r="I4" s="134" t="s">
        <v>8</v>
      </c>
      <c r="J4" s="134" t="s">
        <v>9</v>
      </c>
      <c r="K4" s="134" t="s">
        <v>10</v>
      </c>
      <c r="L4" s="134" t="s">
        <v>11</v>
      </c>
      <c r="M4" s="82" t="s">
        <v>492</v>
      </c>
      <c r="N4" s="134" t="s">
        <v>299</v>
      </c>
      <c r="O4" s="134" t="s">
        <v>300</v>
      </c>
      <c r="P4" s="134" t="s">
        <v>12</v>
      </c>
      <c r="Q4" s="134" t="s">
        <v>301</v>
      </c>
      <c r="R4" s="134" t="s">
        <v>302</v>
      </c>
      <c r="S4" s="134" t="s">
        <v>303</v>
      </c>
      <c r="T4" s="134" t="s">
        <v>304</v>
      </c>
      <c r="U4" s="134" t="s">
        <v>305</v>
      </c>
      <c r="V4" s="134" t="s">
        <v>13</v>
      </c>
      <c r="W4" s="134" t="s">
        <v>14</v>
      </c>
      <c r="X4" s="134" t="s">
        <v>15</v>
      </c>
      <c r="Y4" s="134" t="s">
        <v>223</v>
      </c>
      <c r="Z4" s="134" t="s">
        <v>16</v>
      </c>
      <c r="AA4" s="135"/>
    </row>
    <row r="5" spans="1:27" x14ac:dyDescent="0.25">
      <c r="A5" s="138"/>
      <c r="B5" s="138"/>
      <c r="C5" s="138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8"/>
      <c r="Z5" s="136"/>
      <c r="AA5" s="137"/>
    </row>
    <row r="6" spans="1:27" x14ac:dyDescent="0.25">
      <c r="A6" s="138"/>
      <c r="B6" s="138"/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>
        <f t="shared" ref="O6:O16" si="0">D6-L6-M6-N6</f>
        <v>0</v>
      </c>
      <c r="P6" s="139"/>
      <c r="Q6" s="139"/>
      <c r="R6" s="139"/>
      <c r="S6" s="139"/>
      <c r="T6" s="139">
        <f>P6-M6+R6</f>
        <v>0</v>
      </c>
      <c r="U6" s="139">
        <f t="shared" ref="U6:U16" si="1">N6-T6</f>
        <v>0</v>
      </c>
      <c r="V6" s="139"/>
      <c r="W6" s="139"/>
      <c r="X6" s="139"/>
      <c r="Y6" s="138"/>
      <c r="Z6" s="138"/>
      <c r="AA6" s="137"/>
    </row>
    <row r="7" spans="1:27" x14ac:dyDescent="0.25">
      <c r="A7" s="138">
        <v>1</v>
      </c>
      <c r="B7" s="138">
        <v>1002</v>
      </c>
      <c r="C7" s="138" t="s">
        <v>402</v>
      </c>
      <c r="D7" s="139">
        <v>2080000</v>
      </c>
      <c r="E7" s="139">
        <v>2080000</v>
      </c>
      <c r="F7" s="139">
        <f t="shared" ref="F7:F16" si="2">D7-E7</f>
        <v>0</v>
      </c>
      <c r="G7" s="139">
        <v>1980000</v>
      </c>
      <c r="H7" s="139">
        <v>1922499.86</v>
      </c>
      <c r="I7" s="139">
        <v>15975.9</v>
      </c>
      <c r="J7" s="139"/>
      <c r="K7" s="139">
        <f t="shared" ref="K7:K15" si="3">SUM(I7:J7)</f>
        <v>15975.9</v>
      </c>
      <c r="L7" s="139">
        <f t="shared" ref="L7:L16" si="4">H7+K7</f>
        <v>1938475.76</v>
      </c>
      <c r="M7" s="139">
        <v>1524</v>
      </c>
      <c r="N7" s="139">
        <v>100000</v>
      </c>
      <c r="O7" s="139">
        <f t="shared" si="0"/>
        <v>40000.239999999991</v>
      </c>
      <c r="P7" s="139">
        <f t="shared" ref="P7:P16" si="5">G7-L7</f>
        <v>41524.239999999991</v>
      </c>
      <c r="Q7" s="139">
        <v>0</v>
      </c>
      <c r="R7" s="139">
        <v>0</v>
      </c>
      <c r="S7" s="139">
        <f t="shared" ref="S7:S16" si="6">SUM(Q7:R7)</f>
        <v>0</v>
      </c>
      <c r="T7" s="139">
        <f t="shared" ref="T7:T16" si="7">P7-M7+S7</f>
        <v>40000.239999999991</v>
      </c>
      <c r="U7" s="139">
        <f t="shared" si="1"/>
        <v>59999.760000000009</v>
      </c>
      <c r="V7" s="139"/>
      <c r="W7" s="139">
        <f>U7-V7</f>
        <v>59999.760000000009</v>
      </c>
      <c r="X7" s="139"/>
      <c r="Y7" s="138"/>
      <c r="Z7" s="138">
        <v>760000</v>
      </c>
      <c r="AA7" s="137"/>
    </row>
    <row r="8" spans="1:27" x14ac:dyDescent="0.25">
      <c r="A8" s="138">
        <f>A7+1</f>
        <v>2</v>
      </c>
      <c r="B8" s="138">
        <v>1110</v>
      </c>
      <c r="C8" s="138" t="s">
        <v>170</v>
      </c>
      <c r="D8" s="139">
        <v>2385000</v>
      </c>
      <c r="E8" s="139">
        <v>2385000</v>
      </c>
      <c r="F8" s="139">
        <f t="shared" si="2"/>
        <v>0</v>
      </c>
      <c r="G8" s="139">
        <v>2385000</v>
      </c>
      <c r="H8" s="139">
        <v>2382194.2999999998</v>
      </c>
      <c r="I8" s="139"/>
      <c r="J8" s="139"/>
      <c r="K8" s="139">
        <f t="shared" si="3"/>
        <v>0</v>
      </c>
      <c r="L8" s="139">
        <f t="shared" si="4"/>
        <v>2382194.2999999998</v>
      </c>
      <c r="M8" s="140">
        <f t="shared" ref="M8:M16" si="8">P8+S8</f>
        <v>2805.7000000001863</v>
      </c>
      <c r="N8" s="139"/>
      <c r="O8" s="139">
        <f t="shared" si="0"/>
        <v>0</v>
      </c>
      <c r="P8" s="139">
        <f t="shared" si="5"/>
        <v>2805.7000000001863</v>
      </c>
      <c r="Q8" s="139"/>
      <c r="R8" s="139"/>
      <c r="S8" s="139">
        <f t="shared" si="6"/>
        <v>0</v>
      </c>
      <c r="T8" s="7">
        <f t="shared" si="7"/>
        <v>0</v>
      </c>
      <c r="U8" s="139">
        <f t="shared" si="1"/>
        <v>0</v>
      </c>
      <c r="V8" s="139"/>
      <c r="W8" s="139">
        <f t="shared" ref="W8:W16" si="9">U8-V8</f>
        <v>0</v>
      </c>
      <c r="X8" s="139"/>
      <c r="Y8" s="138"/>
      <c r="Z8" s="138">
        <v>769000</v>
      </c>
      <c r="AA8" s="137"/>
    </row>
    <row r="9" spans="1:27" x14ac:dyDescent="0.25">
      <c r="A9" s="138">
        <f t="shared" ref="A9:A15" si="10">A8+1</f>
        <v>3</v>
      </c>
      <c r="B9" s="138">
        <v>1190</v>
      </c>
      <c r="C9" s="138" t="s">
        <v>171</v>
      </c>
      <c r="D9" s="139">
        <v>2773842</v>
      </c>
      <c r="E9" s="139">
        <v>2773842</v>
      </c>
      <c r="F9" s="139">
        <f t="shared" si="2"/>
        <v>0</v>
      </c>
      <c r="G9" s="139">
        <v>2773842</v>
      </c>
      <c r="H9" s="139">
        <v>2735190.77</v>
      </c>
      <c r="I9" s="139">
        <v>2700.01</v>
      </c>
      <c r="J9" s="139"/>
      <c r="K9" s="139">
        <f t="shared" si="3"/>
        <v>2700.01</v>
      </c>
      <c r="L9" s="139">
        <f t="shared" si="4"/>
        <v>2737890.78</v>
      </c>
      <c r="M9" s="140">
        <f t="shared" si="8"/>
        <v>35951.220000000205</v>
      </c>
      <c r="N9" s="139"/>
      <c r="O9" s="139">
        <f t="shared" si="0"/>
        <v>0</v>
      </c>
      <c r="P9" s="139">
        <f t="shared" si="5"/>
        <v>35951.220000000205</v>
      </c>
      <c r="Q9" s="139"/>
      <c r="R9" s="139"/>
      <c r="S9" s="139">
        <f t="shared" si="6"/>
        <v>0</v>
      </c>
      <c r="T9" s="139">
        <f t="shared" si="7"/>
        <v>0</v>
      </c>
      <c r="U9" s="139">
        <f t="shared" si="1"/>
        <v>0</v>
      </c>
      <c r="V9" s="139"/>
      <c r="W9" s="139">
        <f t="shared" si="9"/>
        <v>0</v>
      </c>
      <c r="X9" s="139"/>
      <c r="Y9" s="138"/>
      <c r="Z9" s="138">
        <v>760000</v>
      </c>
      <c r="AA9" s="137"/>
    </row>
    <row r="10" spans="1:27" x14ac:dyDescent="0.25">
      <c r="A10" s="138">
        <f t="shared" si="10"/>
        <v>4</v>
      </c>
      <c r="B10" s="138">
        <v>1497</v>
      </c>
      <c r="C10" s="138" t="s">
        <v>172</v>
      </c>
      <c r="D10" s="139">
        <v>8820000</v>
      </c>
      <c r="E10" s="139">
        <v>8820000</v>
      </c>
      <c r="F10" s="139">
        <f t="shared" si="2"/>
        <v>0</v>
      </c>
      <c r="G10" s="139">
        <v>2460000</v>
      </c>
      <c r="H10" s="139">
        <v>1944270</v>
      </c>
      <c r="I10" s="139">
        <v>15987</v>
      </c>
      <c r="J10" s="139">
        <v>487200</v>
      </c>
      <c r="K10" s="139">
        <f t="shared" si="3"/>
        <v>503187</v>
      </c>
      <c r="L10" s="139">
        <f t="shared" si="4"/>
        <v>2447457</v>
      </c>
      <c r="M10" s="139">
        <v>543</v>
      </c>
      <c r="N10" s="139">
        <v>300000</v>
      </c>
      <c r="O10" s="139">
        <f t="shared" si="0"/>
        <v>6072000</v>
      </c>
      <c r="P10" s="139">
        <f t="shared" si="5"/>
        <v>12543</v>
      </c>
      <c r="Q10" s="139"/>
      <c r="R10" s="139"/>
      <c r="S10" s="139">
        <f t="shared" si="6"/>
        <v>0</v>
      </c>
      <c r="T10" s="139">
        <f t="shared" si="7"/>
        <v>12000</v>
      </c>
      <c r="U10" s="139">
        <f t="shared" si="1"/>
        <v>288000</v>
      </c>
      <c r="V10" s="139"/>
      <c r="W10" s="139">
        <f t="shared" si="9"/>
        <v>288000</v>
      </c>
      <c r="X10" s="139"/>
      <c r="Y10" s="138"/>
      <c r="Z10" s="138">
        <v>610000</v>
      </c>
      <c r="AA10" s="137"/>
    </row>
    <row r="11" spans="1:27" x14ac:dyDescent="0.25">
      <c r="A11" s="138">
        <f t="shared" si="10"/>
        <v>5</v>
      </c>
      <c r="B11" s="138">
        <v>1507</v>
      </c>
      <c r="C11" s="138" t="s">
        <v>121</v>
      </c>
      <c r="D11" s="139">
        <v>1600000</v>
      </c>
      <c r="E11" s="139">
        <v>1600000</v>
      </c>
      <c r="F11" s="139">
        <f t="shared" si="2"/>
        <v>0</v>
      </c>
      <c r="G11" s="139">
        <v>1600000</v>
      </c>
      <c r="H11" s="139">
        <v>1473324.49</v>
      </c>
      <c r="I11" s="139">
        <v>26269.17</v>
      </c>
      <c r="J11" s="139"/>
      <c r="K11" s="139">
        <f t="shared" si="3"/>
        <v>26269.17</v>
      </c>
      <c r="L11" s="139">
        <f t="shared" si="4"/>
        <v>1499593.66</v>
      </c>
      <c r="M11" s="139">
        <f t="shared" si="8"/>
        <v>100406.34000000008</v>
      </c>
      <c r="N11" s="139"/>
      <c r="O11" s="139">
        <f t="shared" si="0"/>
        <v>0</v>
      </c>
      <c r="P11" s="139">
        <f t="shared" si="5"/>
        <v>100406.34000000008</v>
      </c>
      <c r="Q11" s="139"/>
      <c r="R11" s="139"/>
      <c r="S11" s="139">
        <f t="shared" si="6"/>
        <v>0</v>
      </c>
      <c r="T11" s="139">
        <f t="shared" si="7"/>
        <v>0</v>
      </c>
      <c r="U11" s="139">
        <f t="shared" si="1"/>
        <v>0</v>
      </c>
      <c r="V11" s="139"/>
      <c r="W11" s="139">
        <f t="shared" si="9"/>
        <v>0</v>
      </c>
      <c r="X11" s="139"/>
      <c r="Y11" s="138"/>
      <c r="Z11" s="138">
        <v>722000</v>
      </c>
      <c r="AA11" s="137"/>
    </row>
    <row r="12" spans="1:27" ht="27.6" x14ac:dyDescent="0.25">
      <c r="A12" s="138">
        <f t="shared" si="10"/>
        <v>6</v>
      </c>
      <c r="B12" s="138">
        <v>1647</v>
      </c>
      <c r="C12" s="138" t="s">
        <v>755</v>
      </c>
      <c r="D12" s="139">
        <v>4700000</v>
      </c>
      <c r="E12" s="139">
        <v>4700000</v>
      </c>
      <c r="F12" s="139">
        <f t="shared" si="2"/>
        <v>0</v>
      </c>
      <c r="G12" s="139">
        <v>1450000</v>
      </c>
      <c r="H12" s="139">
        <f>1310747.05+66529</f>
        <v>1377276.05</v>
      </c>
      <c r="I12" s="139">
        <v>40173.67</v>
      </c>
      <c r="J12" s="139"/>
      <c r="K12" s="139">
        <f t="shared" si="3"/>
        <v>40173.67</v>
      </c>
      <c r="L12" s="139">
        <f t="shared" si="4"/>
        <v>1417449.72</v>
      </c>
      <c r="M12" s="139">
        <f t="shared" si="8"/>
        <v>1282550.28</v>
      </c>
      <c r="N12" s="139">
        <v>1250000</v>
      </c>
      <c r="O12" s="139">
        <f t="shared" si="0"/>
        <v>750000.00000000023</v>
      </c>
      <c r="P12" s="139">
        <f t="shared" si="5"/>
        <v>32550.280000000028</v>
      </c>
      <c r="Q12" s="139"/>
      <c r="R12" s="139">
        <f>1000000+250000</f>
        <v>1250000</v>
      </c>
      <c r="S12" s="139">
        <f t="shared" si="6"/>
        <v>1250000</v>
      </c>
      <c r="T12" s="139">
        <f t="shared" si="7"/>
        <v>0</v>
      </c>
      <c r="U12" s="139">
        <f t="shared" si="1"/>
        <v>1250000</v>
      </c>
      <c r="V12" s="139">
        <v>250000</v>
      </c>
      <c r="W12" s="139">
        <f t="shared" si="9"/>
        <v>1000000</v>
      </c>
      <c r="X12" s="139"/>
      <c r="Y12" s="138"/>
      <c r="Z12" s="138">
        <v>810000</v>
      </c>
      <c r="AA12" s="137"/>
    </row>
    <row r="13" spans="1:27" x14ac:dyDescent="0.25">
      <c r="A13" s="138">
        <f t="shared" si="10"/>
        <v>7</v>
      </c>
      <c r="B13" s="138">
        <v>1790</v>
      </c>
      <c r="C13" s="138" t="s">
        <v>173</v>
      </c>
      <c r="D13" s="139">
        <v>415000</v>
      </c>
      <c r="E13" s="139">
        <v>315000</v>
      </c>
      <c r="F13" s="139">
        <f t="shared" si="2"/>
        <v>100000</v>
      </c>
      <c r="G13" s="139">
        <v>315000</v>
      </c>
      <c r="H13" s="139">
        <v>176342.69</v>
      </c>
      <c r="I13" s="139">
        <f>1698.87+136958</f>
        <v>138656.87</v>
      </c>
      <c r="J13" s="139"/>
      <c r="K13" s="139">
        <f t="shared" si="3"/>
        <v>138656.87</v>
      </c>
      <c r="L13" s="139">
        <f t="shared" si="4"/>
        <v>314999.56</v>
      </c>
      <c r="M13" s="139">
        <f t="shared" si="8"/>
        <v>0.44000000000232831</v>
      </c>
      <c r="N13" s="139">
        <v>100000</v>
      </c>
      <c r="O13" s="139">
        <f t="shared" si="0"/>
        <v>0</v>
      </c>
      <c r="P13" s="139">
        <f t="shared" si="5"/>
        <v>0.44000000000232831</v>
      </c>
      <c r="Q13" s="139"/>
      <c r="R13" s="139"/>
      <c r="S13" s="139">
        <f t="shared" si="6"/>
        <v>0</v>
      </c>
      <c r="T13" s="139">
        <f t="shared" si="7"/>
        <v>0</v>
      </c>
      <c r="U13" s="139">
        <f t="shared" si="1"/>
        <v>100000</v>
      </c>
      <c r="V13" s="139"/>
      <c r="W13" s="139">
        <f t="shared" si="9"/>
        <v>100000</v>
      </c>
      <c r="X13" s="139"/>
      <c r="Y13" s="138"/>
      <c r="Z13" s="138">
        <v>810000</v>
      </c>
      <c r="AA13" s="137"/>
    </row>
    <row r="14" spans="1:27" x14ac:dyDescent="0.25">
      <c r="A14" s="138">
        <f t="shared" si="10"/>
        <v>8</v>
      </c>
      <c r="B14" s="138">
        <v>1802</v>
      </c>
      <c r="C14" s="138" t="s">
        <v>474</v>
      </c>
      <c r="D14" s="139">
        <v>2650000</v>
      </c>
      <c r="E14" s="139">
        <v>2650000</v>
      </c>
      <c r="F14" s="139">
        <f t="shared" si="2"/>
        <v>0</v>
      </c>
      <c r="G14" s="139">
        <v>0</v>
      </c>
      <c r="H14" s="139">
        <v>0</v>
      </c>
      <c r="I14" s="139"/>
      <c r="J14" s="139"/>
      <c r="K14" s="139">
        <f t="shared" si="3"/>
        <v>0</v>
      </c>
      <c r="L14" s="139">
        <f t="shared" si="4"/>
        <v>0</v>
      </c>
      <c r="M14" s="139">
        <f t="shared" si="8"/>
        <v>2650000</v>
      </c>
      <c r="N14" s="139"/>
      <c r="O14" s="139">
        <f t="shared" si="0"/>
        <v>0</v>
      </c>
      <c r="P14" s="139">
        <f t="shared" si="5"/>
        <v>0</v>
      </c>
      <c r="Q14" s="139">
        <v>2650000</v>
      </c>
      <c r="R14" s="139"/>
      <c r="S14" s="139">
        <f t="shared" si="6"/>
        <v>2650000</v>
      </c>
      <c r="T14" s="139">
        <f t="shared" si="7"/>
        <v>0</v>
      </c>
      <c r="U14" s="139">
        <f t="shared" si="1"/>
        <v>0</v>
      </c>
      <c r="V14" s="139"/>
      <c r="W14" s="139">
        <f t="shared" si="9"/>
        <v>0</v>
      </c>
      <c r="X14" s="139"/>
      <c r="Y14" s="138"/>
      <c r="Z14" s="138">
        <v>810000</v>
      </c>
      <c r="AA14" s="137"/>
    </row>
    <row r="15" spans="1:27" x14ac:dyDescent="0.25">
      <c r="A15" s="138">
        <f t="shared" si="10"/>
        <v>9</v>
      </c>
      <c r="B15" s="138">
        <v>1871</v>
      </c>
      <c r="C15" s="138" t="s">
        <v>403</v>
      </c>
      <c r="D15" s="139">
        <v>11000000</v>
      </c>
      <c r="E15" s="139">
        <v>11000000</v>
      </c>
      <c r="F15" s="139">
        <f t="shared" si="2"/>
        <v>0</v>
      </c>
      <c r="G15" s="139">
        <v>0</v>
      </c>
      <c r="H15" s="139">
        <v>0</v>
      </c>
      <c r="I15" s="139"/>
      <c r="J15" s="139"/>
      <c r="K15" s="139">
        <f t="shared" si="3"/>
        <v>0</v>
      </c>
      <c r="L15" s="139">
        <f t="shared" si="4"/>
        <v>0</v>
      </c>
      <c r="M15" s="139">
        <f t="shared" si="8"/>
        <v>0</v>
      </c>
      <c r="N15" s="139">
        <v>1500000</v>
      </c>
      <c r="O15" s="139">
        <f t="shared" si="0"/>
        <v>9500000</v>
      </c>
      <c r="P15" s="139">
        <f t="shared" si="5"/>
        <v>0</v>
      </c>
      <c r="Q15" s="139"/>
      <c r="R15" s="139"/>
      <c r="S15" s="139">
        <f t="shared" si="6"/>
        <v>0</v>
      </c>
      <c r="T15" s="139">
        <f t="shared" si="7"/>
        <v>0</v>
      </c>
      <c r="U15" s="139">
        <f t="shared" si="1"/>
        <v>1500000</v>
      </c>
      <c r="V15" s="139">
        <v>1500000</v>
      </c>
      <c r="W15" s="139">
        <f t="shared" si="9"/>
        <v>0</v>
      </c>
      <c r="X15" s="139"/>
      <c r="Y15" s="138"/>
      <c r="Z15" s="138">
        <v>760000</v>
      </c>
      <c r="AA15" s="137"/>
    </row>
    <row r="16" spans="1:27" ht="27.6" x14ac:dyDescent="0.25">
      <c r="A16" s="138">
        <f>A15+1</f>
        <v>10</v>
      </c>
      <c r="B16" s="138">
        <v>1982</v>
      </c>
      <c r="C16" s="138" t="s">
        <v>475</v>
      </c>
      <c r="D16" s="139">
        <v>1500000</v>
      </c>
      <c r="E16" s="139"/>
      <c r="F16" s="139">
        <f t="shared" si="2"/>
        <v>1500000</v>
      </c>
      <c r="G16" s="139"/>
      <c r="H16" s="139"/>
      <c r="I16" s="139"/>
      <c r="J16" s="139"/>
      <c r="K16" s="139">
        <f>SUM(I16:J16)</f>
        <v>0</v>
      </c>
      <c r="L16" s="139">
        <f t="shared" si="4"/>
        <v>0</v>
      </c>
      <c r="M16" s="139">
        <f t="shared" si="8"/>
        <v>0</v>
      </c>
      <c r="N16" s="139">
        <v>1500000</v>
      </c>
      <c r="O16" s="139">
        <f t="shared" si="0"/>
        <v>0</v>
      </c>
      <c r="P16" s="139">
        <f t="shared" si="5"/>
        <v>0</v>
      </c>
      <c r="Q16" s="139"/>
      <c r="R16" s="139"/>
      <c r="S16" s="139">
        <f t="shared" si="6"/>
        <v>0</v>
      </c>
      <c r="T16" s="139">
        <f t="shared" si="7"/>
        <v>0</v>
      </c>
      <c r="U16" s="139">
        <f t="shared" si="1"/>
        <v>1500000</v>
      </c>
      <c r="V16" s="139">
        <v>750000</v>
      </c>
      <c r="W16" s="139">
        <f t="shared" si="9"/>
        <v>750000</v>
      </c>
      <c r="X16" s="139"/>
      <c r="Y16" s="138"/>
      <c r="Z16" s="138">
        <v>722000</v>
      </c>
      <c r="AA16" s="137"/>
    </row>
    <row r="17" spans="1:27" ht="15.6" x14ac:dyDescent="0.25">
      <c r="A17" s="141">
        <f>A16</f>
        <v>10</v>
      </c>
      <c r="B17" s="141" t="s">
        <v>102</v>
      </c>
      <c r="C17" s="141" t="s">
        <v>174</v>
      </c>
      <c r="D17" s="142">
        <f>SUM(D7:D16)</f>
        <v>37923842</v>
      </c>
      <c r="E17" s="142">
        <f t="shared" ref="E17:Y17" si="11">SUM(E7:E16)</f>
        <v>36323842</v>
      </c>
      <c r="F17" s="142">
        <f t="shared" si="11"/>
        <v>1600000</v>
      </c>
      <c r="G17" s="142">
        <f t="shared" si="11"/>
        <v>12963842</v>
      </c>
      <c r="H17" s="142">
        <f t="shared" si="11"/>
        <v>12011098.16</v>
      </c>
      <c r="I17" s="142">
        <f t="shared" si="11"/>
        <v>239762.62</v>
      </c>
      <c r="J17" s="142">
        <f t="shared" si="11"/>
        <v>487200</v>
      </c>
      <c r="K17" s="142">
        <f t="shared" si="11"/>
        <v>726962.62</v>
      </c>
      <c r="L17" s="142">
        <f t="shared" si="11"/>
        <v>12738060.780000001</v>
      </c>
      <c r="M17" s="142">
        <f t="shared" si="11"/>
        <v>4073780.9800000004</v>
      </c>
      <c r="N17" s="142">
        <f t="shared" si="11"/>
        <v>4750000</v>
      </c>
      <c r="O17" s="142">
        <f t="shared" si="11"/>
        <v>16362000.24</v>
      </c>
      <c r="P17" s="142">
        <f t="shared" si="11"/>
        <v>225781.2200000005</v>
      </c>
      <c r="Q17" s="142">
        <f t="shared" si="11"/>
        <v>2650000</v>
      </c>
      <c r="R17" s="142">
        <f t="shared" si="11"/>
        <v>1250000</v>
      </c>
      <c r="S17" s="142">
        <f t="shared" si="11"/>
        <v>3900000</v>
      </c>
      <c r="T17" s="142">
        <f t="shared" si="11"/>
        <v>52000.239999999991</v>
      </c>
      <c r="U17" s="142">
        <f t="shared" si="11"/>
        <v>4697999.76</v>
      </c>
      <c r="V17" s="142">
        <f t="shared" si="11"/>
        <v>2500000</v>
      </c>
      <c r="W17" s="142">
        <f t="shared" si="11"/>
        <v>2197999.7599999998</v>
      </c>
      <c r="X17" s="142">
        <f t="shared" si="11"/>
        <v>0</v>
      </c>
      <c r="Y17" s="142">
        <f t="shared" si="11"/>
        <v>0</v>
      </c>
      <c r="Z17" s="141"/>
      <c r="AA17" s="143"/>
    </row>
    <row r="18" spans="1:27" x14ac:dyDescent="0.25">
      <c r="A18" s="138"/>
      <c r="B18" s="138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>
        <f>D18-L18-M18-N18</f>
        <v>0</v>
      </c>
      <c r="P18" s="139"/>
      <c r="Q18" s="139"/>
      <c r="R18" s="139"/>
      <c r="S18" s="139"/>
      <c r="T18" s="139"/>
      <c r="U18" s="139"/>
      <c r="V18" s="139"/>
      <c r="W18" s="139"/>
      <c r="X18" s="139"/>
      <c r="Y18" s="138"/>
      <c r="Z18" s="138"/>
      <c r="AA18" s="137"/>
    </row>
    <row r="20" spans="1:27" hidden="1" x14ac:dyDescent="0.25"/>
    <row r="21" spans="1:27" hidden="1" x14ac:dyDescent="0.25">
      <c r="P21" s="144" t="s">
        <v>464</v>
      </c>
      <c r="Q21" s="144" t="s">
        <v>476</v>
      </c>
      <c r="R21" s="144">
        <v>250000</v>
      </c>
    </row>
    <row r="22" spans="1:27" hidden="1" x14ac:dyDescent="0.25">
      <c r="Q22" s="144" t="s">
        <v>477</v>
      </c>
      <c r="R22" s="144">
        <v>1000000</v>
      </c>
    </row>
    <row r="23" spans="1:27" hidden="1" x14ac:dyDescent="0.25">
      <c r="R23" s="144">
        <f>SUM(R21:R22)</f>
        <v>1250000</v>
      </c>
    </row>
    <row r="24" spans="1:27" hidden="1" x14ac:dyDescent="0.25"/>
    <row r="25" spans="1:27" hidden="1" x14ac:dyDescent="0.25">
      <c r="P25" s="144" t="s">
        <v>464</v>
      </c>
      <c r="R25" s="144">
        <f>'[1]ריכוז תקציבים מעבר לתוכנית 31.8'!$AD$159</f>
        <v>1250000</v>
      </c>
      <c r="S25" s="144" t="s">
        <v>531</v>
      </c>
    </row>
    <row r="26" spans="1:27" hidden="1" x14ac:dyDescent="0.25">
      <c r="O26" s="144" t="s">
        <v>471</v>
      </c>
      <c r="P26" s="144" t="s">
        <v>223</v>
      </c>
      <c r="Q26" s="144">
        <f>'[1]מיחשוב '!$AY$20</f>
        <v>2650000</v>
      </c>
    </row>
    <row r="27" spans="1:27" hidden="1" x14ac:dyDescent="0.25"/>
    <row r="28" spans="1:27" hidden="1" x14ac:dyDescent="0.25">
      <c r="O28" s="144" t="s">
        <v>524</v>
      </c>
      <c r="Q28" s="144">
        <f>'[5]מיחשוב '!$BC$19</f>
        <v>2080006</v>
      </c>
      <c r="S28" s="144" t="s">
        <v>526</v>
      </c>
    </row>
    <row r="29" spans="1:27" hidden="1" x14ac:dyDescent="0.25">
      <c r="O29" s="144" t="s">
        <v>531</v>
      </c>
      <c r="Q29" s="144">
        <f>Q26-Q28</f>
        <v>569994</v>
      </c>
      <c r="S29" s="144" t="s">
        <v>526</v>
      </c>
    </row>
    <row r="30" spans="1:27" hidden="1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44">
        <f>SUM(Q28:Q29)</f>
        <v>2650000</v>
      </c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2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</row>
    <row r="33" spans="1:27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</row>
    <row r="34" spans="1:27" x14ac:dyDescent="0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1:27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</row>
    <row r="36" spans="1:27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</row>
    <row r="37" spans="1:27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</row>
    <row r="44" spans="1:27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</row>
    <row r="45" spans="1:27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</row>
    <row r="46" spans="1:27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</row>
    <row r="47" spans="1:27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</row>
  </sheetData>
  <sheetProtection algorithmName="SHA-512" hashValue="thRLfuAKm1e/1CT6lsS/K36+5Z+O/CUfz8wBdV9WCa4l4AsyF7LQRhr+//FnSclP4OpB7r5pzMKOcQichxxDnw==" saltValue="9UA0b8EXgJQ0GUzQagCV1w==" spinCount="100000" sheet="1" objects="1" scenarios="1"/>
  <mergeCells count="1">
    <mergeCell ref="A2:W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3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4" spans="1:17" ht="21" x14ac:dyDescent="0.25">
      <c r="A4" s="258"/>
      <c r="C4" s="255" t="s">
        <v>271</v>
      </c>
      <c r="D4" s="258"/>
      <c r="E4" s="258"/>
      <c r="F4" s="258"/>
      <c r="G4" s="258"/>
      <c r="H4" s="258"/>
      <c r="I4" s="258"/>
      <c r="J4" s="258"/>
      <c r="K4" s="258"/>
      <c r="L4" s="258"/>
    </row>
    <row r="5" spans="1:17" ht="21.6" thickBot="1" x14ac:dyDescent="0.3">
      <c r="A5" s="258"/>
      <c r="C5" s="255"/>
      <c r="D5" s="258"/>
      <c r="E5" s="258"/>
      <c r="F5" s="258"/>
      <c r="G5" s="258"/>
      <c r="H5" s="258"/>
      <c r="I5" s="258"/>
      <c r="J5" s="258"/>
      <c r="K5" s="258"/>
      <c r="L5" s="258"/>
    </row>
    <row r="6" spans="1:17" ht="16.2" thickBot="1" x14ac:dyDescent="0.3">
      <c r="A6" s="258"/>
      <c r="B6" s="343" t="s">
        <v>588</v>
      </c>
      <c r="C6" s="258" t="s">
        <v>729</v>
      </c>
      <c r="D6" s="258"/>
      <c r="E6" s="258"/>
      <c r="F6" s="360">
        <f>'פרוט נכסים'!U23</f>
        <v>2645000</v>
      </c>
      <c r="I6" s="258"/>
      <c r="J6" s="258"/>
      <c r="K6" s="258"/>
      <c r="L6" s="258"/>
    </row>
    <row r="7" spans="1:17" ht="15.6" x14ac:dyDescent="0.25">
      <c r="B7" s="343"/>
      <c r="C7" s="258"/>
      <c r="D7" s="258"/>
      <c r="E7" s="258"/>
      <c r="F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 t="s">
        <v>588</v>
      </c>
      <c r="C8" s="258" t="s">
        <v>742</v>
      </c>
      <c r="D8" s="258"/>
      <c r="E8" s="258"/>
      <c r="F8" s="258"/>
      <c r="G8" s="258"/>
      <c r="H8" s="258"/>
      <c r="I8" s="258"/>
      <c r="J8" s="258"/>
      <c r="K8" s="258"/>
      <c r="L8" s="258"/>
    </row>
    <row r="9" spans="1:17" ht="15.6" x14ac:dyDescent="0.25">
      <c r="B9" s="343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B10" s="343" t="s">
        <v>588</v>
      </c>
      <c r="C10" s="258" t="s">
        <v>737</v>
      </c>
      <c r="D10" s="258"/>
      <c r="F10" s="258"/>
      <c r="H10" s="265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C11" s="258" t="s">
        <v>736</v>
      </c>
      <c r="D11" s="258"/>
      <c r="E11" s="258"/>
      <c r="F11" s="258"/>
      <c r="H11" s="258"/>
      <c r="I11" s="258"/>
      <c r="J11" s="258"/>
      <c r="K11" s="258"/>
      <c r="L11" s="258"/>
    </row>
    <row r="12" spans="1:17" ht="15.6" x14ac:dyDescent="0.25">
      <c r="B12" s="343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5.6" x14ac:dyDescent="0.25">
      <c r="B13" s="343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</sheetData>
  <sheetProtection algorithmName="SHA-512" hashValue="Ms1l03tfvukvGPzJBgNa1yerBFZ6a8R5KOQqXWlvgGYPjE28dxT+K3IOkXSJBBHH9aKo9b9ZJhywmuiW1qO8sQ==" saltValue="+2mwIKROFXuXdhpyFiIeGQ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"/>
  <sheetViews>
    <sheetView showZeros="0" rightToLeft="1" zoomScaleNormal="100" workbookViewId="0">
      <pane xSplit="3" ySplit="4" topLeftCell="D5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6.88671875" style="21" customWidth="1"/>
    <col min="4" max="4" width="12.6640625" style="19" customWidth="1"/>
    <col min="5" max="5" width="11.44140625" style="19" customWidth="1"/>
    <col min="6" max="6" width="9.88671875" style="19" customWidth="1"/>
    <col min="7" max="10" width="12.6640625" style="19" hidden="1" customWidth="1"/>
    <col min="11" max="11" width="11.33203125" style="19" hidden="1" customWidth="1"/>
    <col min="12" max="12" width="11" style="19" customWidth="1"/>
    <col min="13" max="14" width="11.109375" style="19" bestFit="1" customWidth="1"/>
    <col min="15" max="15" width="11.109375" style="19" customWidth="1"/>
    <col min="16" max="17" width="11.109375" style="19" hidden="1" customWidth="1"/>
    <col min="18" max="19" width="12" style="19" hidden="1" customWidth="1"/>
    <col min="20" max="20" width="10.33203125" style="19" hidden="1" customWidth="1"/>
    <col min="21" max="21" width="11.88671875" style="21" bestFit="1" customWidth="1"/>
    <col min="22" max="22" width="10.33203125" style="21" customWidth="1"/>
    <col min="23" max="23" width="11.88671875" style="21" customWidth="1"/>
    <col min="24" max="24" width="10.109375" style="21" customWidth="1"/>
    <col min="25" max="25" width="9.6640625" style="21" customWidth="1"/>
    <col min="26" max="26" width="7.88671875" style="21" hidden="1" customWidth="1"/>
    <col min="27" max="16384" width="9.109375" style="21"/>
  </cols>
  <sheetData>
    <row r="2" spans="1:26" ht="18" x14ac:dyDescent="0.35">
      <c r="A2" s="450" t="s">
        <v>271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</row>
    <row r="4" spans="1:26" s="59" customFormat="1" ht="86.25" customHeight="1" x14ac:dyDescent="0.25">
      <c r="A4" s="4" t="s">
        <v>830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82" t="s">
        <v>492</v>
      </c>
      <c r="N4" s="4" t="s">
        <v>299</v>
      </c>
      <c r="O4" s="4" t="s">
        <v>300</v>
      </c>
      <c r="P4" s="4" t="s">
        <v>12</v>
      </c>
      <c r="Q4" s="4" t="s">
        <v>301</v>
      </c>
      <c r="R4" s="4" t="s">
        <v>302</v>
      </c>
      <c r="S4" s="4" t="s">
        <v>303</v>
      </c>
      <c r="T4" s="4" t="s">
        <v>304</v>
      </c>
      <c r="U4" s="4" t="s">
        <v>305</v>
      </c>
      <c r="V4" s="4" t="s">
        <v>13</v>
      </c>
      <c r="W4" s="4" t="s">
        <v>14</v>
      </c>
      <c r="X4" s="4" t="s">
        <v>15</v>
      </c>
      <c r="Y4" s="4" t="s">
        <v>223</v>
      </c>
      <c r="Z4" s="4" t="s">
        <v>16</v>
      </c>
    </row>
    <row r="5" spans="1:26" s="8" customFormat="1" x14ac:dyDescent="0.25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6"/>
      <c r="Z5" s="10"/>
    </row>
    <row r="6" spans="1:26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>
        <f t="shared" ref="O6:O22" si="0">D6-L6-M6-N6</f>
        <v>0</v>
      </c>
      <c r="P6" s="7"/>
      <c r="Q6" s="7"/>
      <c r="R6" s="7"/>
      <c r="S6" s="7"/>
      <c r="T6" s="7">
        <f>P6-M6+R6</f>
        <v>0</v>
      </c>
      <c r="U6" s="7">
        <f t="shared" ref="U6:U24" si="1">N6-T6</f>
        <v>0</v>
      </c>
      <c r="V6" s="7"/>
      <c r="W6" s="7"/>
      <c r="X6" s="7"/>
      <c r="Y6" s="6"/>
      <c r="Z6" s="6"/>
    </row>
    <row r="7" spans="1:26" s="8" customFormat="1" x14ac:dyDescent="0.25">
      <c r="A7" s="6">
        <f>1+A6</f>
        <v>1</v>
      </c>
      <c r="B7" s="6">
        <v>470</v>
      </c>
      <c r="C7" s="6" t="s">
        <v>179</v>
      </c>
      <c r="D7" s="7">
        <v>1680000</v>
      </c>
      <c r="E7" s="7">
        <v>1580000</v>
      </c>
      <c r="F7" s="7">
        <f t="shared" ref="F7:F22" si="2">D7-E7</f>
        <v>100000</v>
      </c>
      <c r="G7" s="7">
        <v>1580000</v>
      </c>
      <c r="H7" s="7">
        <v>1548809.43</v>
      </c>
      <c r="I7" s="7"/>
      <c r="J7" s="7"/>
      <c r="K7" s="7">
        <f t="shared" ref="K7:K14" si="3">SUM(I7:J7)</f>
        <v>0</v>
      </c>
      <c r="L7" s="7">
        <f t="shared" ref="L7:L22" si="4">H7+K7</f>
        <v>1548809.43</v>
      </c>
      <c r="M7" s="7">
        <f t="shared" ref="M7:M22" si="5">P7+S7</f>
        <v>31190.570000000065</v>
      </c>
      <c r="N7" s="7">
        <v>100000</v>
      </c>
      <c r="O7" s="7">
        <f t="shared" si="0"/>
        <v>0</v>
      </c>
      <c r="P7" s="7">
        <f t="shared" ref="P7:P22" si="6">G7-L7</f>
        <v>31190.570000000065</v>
      </c>
      <c r="Q7" s="7"/>
      <c r="R7" s="7"/>
      <c r="S7" s="7">
        <f t="shared" ref="S7:S22" si="7">SUM(Q7:R7)</f>
        <v>0</v>
      </c>
      <c r="T7" s="7">
        <f t="shared" ref="T7:T22" si="8">P7-M7+S7</f>
        <v>0</v>
      </c>
      <c r="U7" s="7">
        <f t="shared" si="1"/>
        <v>100000</v>
      </c>
      <c r="V7" s="7">
        <f t="shared" ref="V7:V22" si="9">U7-W7-X7-Y7</f>
        <v>100000</v>
      </c>
      <c r="W7" s="7"/>
      <c r="X7" s="7"/>
      <c r="Y7" s="6"/>
      <c r="Z7" s="6">
        <v>935000</v>
      </c>
    </row>
    <row r="8" spans="1:26" s="8" customFormat="1" x14ac:dyDescent="0.25">
      <c r="A8" s="6">
        <f t="shared" ref="A8:A22" si="10">1+A7</f>
        <v>2</v>
      </c>
      <c r="B8" s="6">
        <v>649</v>
      </c>
      <c r="C8" s="6" t="s">
        <v>180</v>
      </c>
      <c r="D8" s="7">
        <v>70000</v>
      </c>
      <c r="E8" s="7">
        <v>70000</v>
      </c>
      <c r="F8" s="7">
        <f t="shared" si="2"/>
        <v>0</v>
      </c>
      <c r="G8" s="7">
        <v>70000</v>
      </c>
      <c r="H8" s="7">
        <v>43111.48</v>
      </c>
      <c r="I8" s="7"/>
      <c r="J8" s="7"/>
      <c r="K8" s="7">
        <f t="shared" si="3"/>
        <v>0</v>
      </c>
      <c r="L8" s="7">
        <f t="shared" si="4"/>
        <v>43111.48</v>
      </c>
      <c r="M8" s="7">
        <f t="shared" si="5"/>
        <v>26888.519999999997</v>
      </c>
      <c r="N8" s="7"/>
      <c r="O8" s="7">
        <f t="shared" si="0"/>
        <v>0</v>
      </c>
      <c r="P8" s="7">
        <f t="shared" si="6"/>
        <v>26888.519999999997</v>
      </c>
      <c r="Q8" s="7"/>
      <c r="R8" s="7"/>
      <c r="S8" s="7">
        <f t="shared" si="7"/>
        <v>0</v>
      </c>
      <c r="T8" s="7">
        <f t="shared" si="8"/>
        <v>0</v>
      </c>
      <c r="U8" s="7">
        <f t="shared" si="1"/>
        <v>0</v>
      </c>
      <c r="V8" s="7">
        <f t="shared" si="9"/>
        <v>0</v>
      </c>
      <c r="W8" s="7"/>
      <c r="X8" s="7"/>
      <c r="Y8" s="6"/>
      <c r="Z8" s="6">
        <v>930000</v>
      </c>
    </row>
    <row r="9" spans="1:26" s="8" customFormat="1" x14ac:dyDescent="0.25">
      <c r="A9" s="6">
        <f t="shared" si="10"/>
        <v>3</v>
      </c>
      <c r="B9" s="6">
        <v>1066</v>
      </c>
      <c r="C9" s="6" t="s">
        <v>181</v>
      </c>
      <c r="D9" s="7">
        <v>75000</v>
      </c>
      <c r="E9" s="7">
        <v>75000</v>
      </c>
      <c r="F9" s="7">
        <f t="shared" si="2"/>
        <v>0</v>
      </c>
      <c r="G9" s="7">
        <v>75000</v>
      </c>
      <c r="H9" s="7">
        <v>40172</v>
      </c>
      <c r="I9" s="7"/>
      <c r="J9" s="7"/>
      <c r="K9" s="7">
        <f t="shared" si="3"/>
        <v>0</v>
      </c>
      <c r="L9" s="7">
        <f t="shared" si="4"/>
        <v>40172</v>
      </c>
      <c r="M9" s="7">
        <f t="shared" si="5"/>
        <v>34828</v>
      </c>
      <c r="N9" s="7"/>
      <c r="O9" s="7">
        <f t="shared" si="0"/>
        <v>0</v>
      </c>
      <c r="P9" s="7">
        <f t="shared" si="6"/>
        <v>34828</v>
      </c>
      <c r="Q9" s="7"/>
      <c r="R9" s="7"/>
      <c r="S9" s="7">
        <f t="shared" si="7"/>
        <v>0</v>
      </c>
      <c r="T9" s="7">
        <f t="shared" si="8"/>
        <v>0</v>
      </c>
      <c r="U9" s="7">
        <f t="shared" si="1"/>
        <v>0</v>
      </c>
      <c r="V9" s="7">
        <f t="shared" si="9"/>
        <v>0</v>
      </c>
      <c r="W9" s="7"/>
      <c r="X9" s="7"/>
      <c r="Y9" s="6"/>
      <c r="Z9" s="6">
        <v>935000</v>
      </c>
    </row>
    <row r="10" spans="1:26" s="8" customFormat="1" x14ac:dyDescent="0.25">
      <c r="A10" s="6">
        <f t="shared" si="10"/>
        <v>4</v>
      </c>
      <c r="B10" s="6">
        <v>1177</v>
      </c>
      <c r="C10" s="6" t="s">
        <v>182</v>
      </c>
      <c r="D10" s="7">
        <v>41850000</v>
      </c>
      <c r="E10" s="7">
        <v>41850000</v>
      </c>
      <c r="F10" s="7">
        <f t="shared" si="2"/>
        <v>0</v>
      </c>
      <c r="G10" s="7">
        <v>28957000</v>
      </c>
      <c r="H10" s="7">
        <v>26727455.199999999</v>
      </c>
      <c r="I10" s="7"/>
      <c r="J10" s="7"/>
      <c r="K10" s="7">
        <f t="shared" si="3"/>
        <v>0</v>
      </c>
      <c r="L10" s="7">
        <f t="shared" si="4"/>
        <v>26727455.199999999</v>
      </c>
      <c r="M10" s="7">
        <f t="shared" si="5"/>
        <v>2229544.8000000007</v>
      </c>
      <c r="N10" s="7">
        <v>2000000</v>
      </c>
      <c r="O10" s="7">
        <f t="shared" si="0"/>
        <v>10893000</v>
      </c>
      <c r="P10" s="7">
        <f t="shared" si="6"/>
        <v>2229544.8000000007</v>
      </c>
      <c r="Q10" s="7"/>
      <c r="R10" s="7"/>
      <c r="S10" s="7">
        <f t="shared" si="7"/>
        <v>0</v>
      </c>
      <c r="T10" s="7">
        <f t="shared" si="8"/>
        <v>0</v>
      </c>
      <c r="U10" s="7">
        <f t="shared" si="1"/>
        <v>2000000</v>
      </c>
      <c r="V10" s="7">
        <f t="shared" si="9"/>
        <v>2000000</v>
      </c>
      <c r="W10" s="7"/>
      <c r="X10" s="7"/>
      <c r="Y10" s="6"/>
      <c r="Z10" s="6">
        <v>930000</v>
      </c>
    </row>
    <row r="11" spans="1:26" s="8" customFormat="1" x14ac:dyDescent="0.25">
      <c r="A11" s="6">
        <f t="shared" si="10"/>
        <v>5</v>
      </c>
      <c r="B11" s="6">
        <v>1258</v>
      </c>
      <c r="C11" s="6" t="s">
        <v>183</v>
      </c>
      <c r="D11" s="7">
        <v>1400000</v>
      </c>
      <c r="E11" s="7">
        <v>1400000</v>
      </c>
      <c r="F11" s="7">
        <f t="shared" si="2"/>
        <v>0</v>
      </c>
      <c r="G11" s="7">
        <v>900000</v>
      </c>
      <c r="H11" s="7">
        <v>840425.35</v>
      </c>
      <c r="I11" s="7"/>
      <c r="J11" s="7"/>
      <c r="K11" s="7">
        <f t="shared" si="3"/>
        <v>0</v>
      </c>
      <c r="L11" s="7">
        <f t="shared" si="4"/>
        <v>840425.35</v>
      </c>
      <c r="M11" s="7">
        <f t="shared" si="5"/>
        <v>59574.650000000023</v>
      </c>
      <c r="N11" s="7">
        <v>50000</v>
      </c>
      <c r="O11" s="7">
        <f t="shared" si="0"/>
        <v>450000</v>
      </c>
      <c r="P11" s="7">
        <f t="shared" si="6"/>
        <v>59574.650000000023</v>
      </c>
      <c r="Q11" s="7"/>
      <c r="R11" s="7"/>
      <c r="S11" s="7">
        <f t="shared" si="7"/>
        <v>0</v>
      </c>
      <c r="T11" s="7">
        <f t="shared" si="8"/>
        <v>0</v>
      </c>
      <c r="U11" s="7">
        <f t="shared" si="1"/>
        <v>50000</v>
      </c>
      <c r="V11" s="7">
        <f t="shared" si="9"/>
        <v>50000</v>
      </c>
      <c r="W11" s="7"/>
      <c r="X11" s="7"/>
      <c r="Y11" s="6"/>
      <c r="Z11" s="6">
        <v>930000</v>
      </c>
    </row>
    <row r="12" spans="1:26" s="8" customFormat="1" x14ac:dyDescent="0.25">
      <c r="A12" s="6">
        <f t="shared" si="10"/>
        <v>6</v>
      </c>
      <c r="B12" s="6">
        <v>1330</v>
      </c>
      <c r="C12" s="6" t="s">
        <v>184</v>
      </c>
      <c r="D12" s="7">
        <v>60700000</v>
      </c>
      <c r="E12" s="7">
        <v>60700000</v>
      </c>
      <c r="F12" s="7">
        <f t="shared" si="2"/>
        <v>0</v>
      </c>
      <c r="G12" s="7">
        <v>17249825</v>
      </c>
      <c r="H12" s="7">
        <v>3651488.63</v>
      </c>
      <c r="I12" s="7">
        <v>6107</v>
      </c>
      <c r="J12" s="7"/>
      <c r="K12" s="7">
        <f t="shared" si="3"/>
        <v>6107</v>
      </c>
      <c r="L12" s="7">
        <f t="shared" si="4"/>
        <v>3657595.63</v>
      </c>
      <c r="M12" s="7">
        <f t="shared" si="5"/>
        <v>13592229.370000001</v>
      </c>
      <c r="N12" s="7"/>
      <c r="O12" s="7">
        <f t="shared" si="0"/>
        <v>43450175</v>
      </c>
      <c r="P12" s="7">
        <f t="shared" si="6"/>
        <v>13592229.370000001</v>
      </c>
      <c r="Q12" s="7"/>
      <c r="R12" s="7"/>
      <c r="S12" s="7">
        <f t="shared" si="7"/>
        <v>0</v>
      </c>
      <c r="T12" s="7">
        <f t="shared" si="8"/>
        <v>0</v>
      </c>
      <c r="U12" s="7">
        <f t="shared" si="1"/>
        <v>0</v>
      </c>
      <c r="V12" s="7">
        <f t="shared" si="9"/>
        <v>0</v>
      </c>
      <c r="W12" s="7"/>
      <c r="X12" s="7"/>
      <c r="Y12" s="6"/>
      <c r="Z12" s="6">
        <v>930000</v>
      </c>
    </row>
    <row r="13" spans="1:26" s="8" customFormat="1" ht="27.6" x14ac:dyDescent="0.25">
      <c r="A13" s="6">
        <f t="shared" si="10"/>
        <v>7</v>
      </c>
      <c r="B13" s="6">
        <v>1339</v>
      </c>
      <c r="C13" s="6" t="s">
        <v>185</v>
      </c>
      <c r="D13" s="7">
        <v>1250000</v>
      </c>
      <c r="E13" s="7">
        <v>1250000</v>
      </c>
      <c r="F13" s="7">
        <f t="shared" si="2"/>
        <v>0</v>
      </c>
      <c r="G13" s="7">
        <v>1250000</v>
      </c>
      <c r="H13" s="7">
        <v>1218825</v>
      </c>
      <c r="I13" s="7"/>
      <c r="J13" s="7"/>
      <c r="K13" s="7">
        <f t="shared" si="3"/>
        <v>0</v>
      </c>
      <c r="L13" s="7">
        <f t="shared" si="4"/>
        <v>1218825</v>
      </c>
      <c r="M13" s="7">
        <f t="shared" si="5"/>
        <v>31175</v>
      </c>
      <c r="N13" s="7"/>
      <c r="O13" s="7">
        <f t="shared" si="0"/>
        <v>0</v>
      </c>
      <c r="P13" s="7">
        <f t="shared" si="6"/>
        <v>31175</v>
      </c>
      <c r="Q13" s="7"/>
      <c r="R13" s="7"/>
      <c r="S13" s="7">
        <f t="shared" si="7"/>
        <v>0</v>
      </c>
      <c r="T13" s="7">
        <f t="shared" si="8"/>
        <v>0</v>
      </c>
      <c r="U13" s="7">
        <f t="shared" si="1"/>
        <v>0</v>
      </c>
      <c r="V13" s="7">
        <f t="shared" si="9"/>
        <v>0</v>
      </c>
      <c r="W13" s="7"/>
      <c r="X13" s="7"/>
      <c r="Y13" s="6"/>
      <c r="Z13" s="6">
        <v>930000</v>
      </c>
    </row>
    <row r="14" spans="1:26" s="8" customFormat="1" x14ac:dyDescent="0.25">
      <c r="A14" s="6">
        <f t="shared" si="10"/>
        <v>8</v>
      </c>
      <c r="B14" s="6">
        <v>1369</v>
      </c>
      <c r="C14" s="6" t="s">
        <v>186</v>
      </c>
      <c r="D14" s="7">
        <v>1100700</v>
      </c>
      <c r="E14" s="7">
        <v>1100700</v>
      </c>
      <c r="F14" s="7">
        <f t="shared" si="2"/>
        <v>0</v>
      </c>
      <c r="G14" s="7">
        <v>570700</v>
      </c>
      <c r="H14" s="7">
        <v>552097</v>
      </c>
      <c r="I14" s="7"/>
      <c r="J14" s="7"/>
      <c r="K14" s="7">
        <f t="shared" si="3"/>
        <v>0</v>
      </c>
      <c r="L14" s="7">
        <f t="shared" si="4"/>
        <v>552097</v>
      </c>
      <c r="M14" s="7">
        <f t="shared" si="5"/>
        <v>18603</v>
      </c>
      <c r="N14" s="7">
        <v>100000</v>
      </c>
      <c r="O14" s="7">
        <f t="shared" si="0"/>
        <v>430000</v>
      </c>
      <c r="P14" s="7">
        <f t="shared" si="6"/>
        <v>18603</v>
      </c>
      <c r="Q14" s="7"/>
      <c r="R14" s="7"/>
      <c r="S14" s="7">
        <f t="shared" si="7"/>
        <v>0</v>
      </c>
      <c r="T14" s="7">
        <f t="shared" si="8"/>
        <v>0</v>
      </c>
      <c r="U14" s="7">
        <f t="shared" si="1"/>
        <v>100000</v>
      </c>
      <c r="V14" s="7">
        <f t="shared" si="9"/>
        <v>100000</v>
      </c>
      <c r="W14" s="7"/>
      <c r="X14" s="7"/>
      <c r="Y14" s="6"/>
      <c r="Z14" s="6">
        <v>930000</v>
      </c>
    </row>
    <row r="15" spans="1:26" s="8" customFormat="1" x14ac:dyDescent="0.25">
      <c r="A15" s="6">
        <f t="shared" si="10"/>
        <v>9</v>
      </c>
      <c r="B15" s="6">
        <v>1704</v>
      </c>
      <c r="C15" s="6" t="s">
        <v>187</v>
      </c>
      <c r="D15" s="7">
        <v>5784000</v>
      </c>
      <c r="E15" s="7">
        <v>5784000</v>
      </c>
      <c r="F15" s="7">
        <f t="shared" si="2"/>
        <v>0</v>
      </c>
      <c r="G15" s="7">
        <v>5000</v>
      </c>
      <c r="H15" s="7">
        <v>1903.73</v>
      </c>
      <c r="I15" s="7"/>
      <c r="J15" s="7"/>
      <c r="K15" s="7">
        <f t="shared" ref="K15:K22" si="11">SUM(I15:J15)</f>
        <v>0</v>
      </c>
      <c r="L15" s="7">
        <f t="shared" si="4"/>
        <v>1903.73</v>
      </c>
      <c r="M15" s="7">
        <f t="shared" si="5"/>
        <v>3096.27</v>
      </c>
      <c r="N15" s="7">
        <v>25000</v>
      </c>
      <c r="O15" s="7">
        <f t="shared" si="0"/>
        <v>5754000</v>
      </c>
      <c r="P15" s="7">
        <f t="shared" si="6"/>
        <v>3096.27</v>
      </c>
      <c r="Q15" s="7"/>
      <c r="R15" s="7"/>
      <c r="S15" s="7">
        <f t="shared" si="7"/>
        <v>0</v>
      </c>
      <c r="T15" s="7">
        <f t="shared" si="8"/>
        <v>0</v>
      </c>
      <c r="U15" s="7">
        <f t="shared" si="1"/>
        <v>25000</v>
      </c>
      <c r="V15" s="7">
        <f t="shared" si="9"/>
        <v>25000</v>
      </c>
      <c r="W15" s="7"/>
      <c r="X15" s="7"/>
      <c r="Y15" s="6"/>
      <c r="Z15" s="6">
        <v>930000</v>
      </c>
    </row>
    <row r="16" spans="1:26" s="8" customFormat="1" x14ac:dyDescent="0.25">
      <c r="A16" s="6">
        <f t="shared" si="10"/>
        <v>10</v>
      </c>
      <c r="B16" s="6">
        <v>1715</v>
      </c>
      <c r="C16" s="6" t="s">
        <v>188</v>
      </c>
      <c r="D16" s="7">
        <v>8645000</v>
      </c>
      <c r="E16" s="7">
        <v>8645000</v>
      </c>
      <c r="F16" s="7">
        <f t="shared" si="2"/>
        <v>0</v>
      </c>
      <c r="G16" s="7">
        <v>8150000</v>
      </c>
      <c r="H16" s="7">
        <v>8130200</v>
      </c>
      <c r="I16" s="7"/>
      <c r="J16" s="7"/>
      <c r="K16" s="7">
        <f t="shared" si="11"/>
        <v>0</v>
      </c>
      <c r="L16" s="7">
        <f t="shared" si="4"/>
        <v>8130200</v>
      </c>
      <c r="M16" s="7">
        <f t="shared" si="5"/>
        <v>19800</v>
      </c>
      <c r="N16" s="7"/>
      <c r="O16" s="7">
        <f t="shared" si="0"/>
        <v>495000</v>
      </c>
      <c r="P16" s="7">
        <f t="shared" si="6"/>
        <v>19800</v>
      </c>
      <c r="Q16" s="7"/>
      <c r="R16" s="7"/>
      <c r="S16" s="7">
        <f t="shared" si="7"/>
        <v>0</v>
      </c>
      <c r="T16" s="7">
        <f t="shared" si="8"/>
        <v>0</v>
      </c>
      <c r="U16" s="7">
        <f t="shared" si="1"/>
        <v>0</v>
      </c>
      <c r="V16" s="7">
        <f t="shared" si="9"/>
        <v>0</v>
      </c>
      <c r="W16" s="7"/>
      <c r="X16" s="7"/>
      <c r="Y16" s="6"/>
      <c r="Z16" s="6">
        <v>930000</v>
      </c>
    </row>
    <row r="17" spans="1:26" s="8" customFormat="1" x14ac:dyDescent="0.25">
      <c r="A17" s="6">
        <f t="shared" si="10"/>
        <v>11</v>
      </c>
      <c r="B17" s="6">
        <v>1791</v>
      </c>
      <c r="C17" s="6" t="s">
        <v>189</v>
      </c>
      <c r="D17" s="7">
        <v>570000</v>
      </c>
      <c r="E17" s="7">
        <v>500000</v>
      </c>
      <c r="F17" s="7">
        <f t="shared" si="2"/>
        <v>70000</v>
      </c>
      <c r="G17" s="7">
        <v>500000</v>
      </c>
      <c r="H17" s="7">
        <v>104150</v>
      </c>
      <c r="I17" s="7"/>
      <c r="J17" s="7"/>
      <c r="K17" s="7">
        <f t="shared" si="11"/>
        <v>0</v>
      </c>
      <c r="L17" s="7">
        <f t="shared" si="4"/>
        <v>104150</v>
      </c>
      <c r="M17" s="7">
        <f t="shared" si="5"/>
        <v>395850</v>
      </c>
      <c r="N17" s="7">
        <v>70000</v>
      </c>
      <c r="O17" s="7">
        <f t="shared" si="0"/>
        <v>0</v>
      </c>
      <c r="P17" s="7">
        <f t="shared" si="6"/>
        <v>395850</v>
      </c>
      <c r="Q17" s="7"/>
      <c r="R17" s="7"/>
      <c r="S17" s="7">
        <f t="shared" si="7"/>
        <v>0</v>
      </c>
      <c r="T17" s="7">
        <f t="shared" si="8"/>
        <v>0</v>
      </c>
      <c r="U17" s="7">
        <f t="shared" si="1"/>
        <v>70000</v>
      </c>
      <c r="V17" s="7">
        <f t="shared" si="9"/>
        <v>70000</v>
      </c>
      <c r="W17" s="7"/>
      <c r="X17" s="7"/>
      <c r="Y17" s="6"/>
      <c r="Z17" s="6">
        <v>930000</v>
      </c>
    </row>
    <row r="18" spans="1:26" s="8" customFormat="1" x14ac:dyDescent="0.25">
      <c r="A18" s="6">
        <f t="shared" si="10"/>
        <v>12</v>
      </c>
      <c r="B18" s="6">
        <v>1801</v>
      </c>
      <c r="C18" s="6" t="s">
        <v>296</v>
      </c>
      <c r="D18" s="7">
        <v>36000000</v>
      </c>
      <c r="E18" s="7">
        <v>36000000</v>
      </c>
      <c r="F18" s="7">
        <f t="shared" si="2"/>
        <v>0</v>
      </c>
      <c r="G18" s="7">
        <v>36000000</v>
      </c>
      <c r="H18" s="7">
        <v>30345661.890000001</v>
      </c>
      <c r="I18" s="7"/>
      <c r="J18" s="7"/>
      <c r="K18" s="7">
        <f t="shared" si="11"/>
        <v>0</v>
      </c>
      <c r="L18" s="7">
        <f t="shared" si="4"/>
        <v>30345661.890000001</v>
      </c>
      <c r="M18" s="7">
        <f t="shared" si="5"/>
        <v>5654338.1099999994</v>
      </c>
      <c r="N18" s="7"/>
      <c r="O18" s="7">
        <f t="shared" si="0"/>
        <v>0</v>
      </c>
      <c r="P18" s="7">
        <f t="shared" si="6"/>
        <v>5654338.1099999994</v>
      </c>
      <c r="Q18" s="7"/>
      <c r="R18" s="7"/>
      <c r="S18" s="7">
        <f t="shared" si="7"/>
        <v>0</v>
      </c>
      <c r="T18" s="7">
        <f t="shared" si="8"/>
        <v>0</v>
      </c>
      <c r="U18" s="7">
        <f t="shared" si="1"/>
        <v>0</v>
      </c>
      <c r="V18" s="7">
        <f t="shared" si="9"/>
        <v>0</v>
      </c>
      <c r="W18" s="7"/>
      <c r="X18" s="7"/>
      <c r="Y18" s="6"/>
      <c r="Z18" s="6">
        <v>930000</v>
      </c>
    </row>
    <row r="19" spans="1:26" s="8" customFormat="1" x14ac:dyDescent="0.25">
      <c r="A19" s="6">
        <f t="shared" si="10"/>
        <v>13</v>
      </c>
      <c r="B19" s="6">
        <v>1816</v>
      </c>
      <c r="C19" s="6" t="s">
        <v>297</v>
      </c>
      <c r="D19" s="7">
        <v>565000</v>
      </c>
      <c r="E19" s="7">
        <v>565000</v>
      </c>
      <c r="F19" s="7">
        <f t="shared" si="2"/>
        <v>0</v>
      </c>
      <c r="G19" s="7">
        <v>565000</v>
      </c>
      <c r="H19" s="7">
        <v>400000</v>
      </c>
      <c r="I19" s="7"/>
      <c r="J19" s="7"/>
      <c r="K19" s="7">
        <f t="shared" si="11"/>
        <v>0</v>
      </c>
      <c r="L19" s="7">
        <f t="shared" si="4"/>
        <v>400000</v>
      </c>
      <c r="M19" s="7">
        <f t="shared" si="5"/>
        <v>165000</v>
      </c>
      <c r="N19" s="7"/>
      <c r="O19" s="7">
        <f t="shared" si="0"/>
        <v>0</v>
      </c>
      <c r="P19" s="7">
        <f t="shared" si="6"/>
        <v>165000</v>
      </c>
      <c r="Q19" s="7"/>
      <c r="R19" s="7"/>
      <c r="S19" s="7">
        <f t="shared" si="7"/>
        <v>0</v>
      </c>
      <c r="T19" s="7">
        <f t="shared" si="8"/>
        <v>0</v>
      </c>
      <c r="U19" s="7">
        <f t="shared" si="1"/>
        <v>0</v>
      </c>
      <c r="V19" s="7">
        <f t="shared" si="9"/>
        <v>0</v>
      </c>
      <c r="W19" s="7"/>
      <c r="X19" s="7"/>
      <c r="Y19" s="6"/>
      <c r="Z19" s="6">
        <v>930000</v>
      </c>
    </row>
    <row r="20" spans="1:26" s="8" customFormat="1" x14ac:dyDescent="0.25">
      <c r="A20" s="6">
        <f>1+A19</f>
        <v>14</v>
      </c>
      <c r="B20" s="6">
        <v>1983</v>
      </c>
      <c r="C20" s="6" t="s">
        <v>478</v>
      </c>
      <c r="D20" s="7">
        <v>800000</v>
      </c>
      <c r="E20" s="7"/>
      <c r="F20" s="7">
        <f t="shared" si="2"/>
        <v>800000</v>
      </c>
      <c r="G20" s="7"/>
      <c r="H20" s="7"/>
      <c r="I20" s="7"/>
      <c r="J20" s="7"/>
      <c r="K20" s="7">
        <f t="shared" si="11"/>
        <v>0</v>
      </c>
      <c r="L20" s="7">
        <f t="shared" si="4"/>
        <v>0</v>
      </c>
      <c r="M20" s="7">
        <f t="shared" si="5"/>
        <v>0</v>
      </c>
      <c r="N20" s="7">
        <v>100000</v>
      </c>
      <c r="O20" s="7">
        <f t="shared" si="0"/>
        <v>700000</v>
      </c>
      <c r="P20" s="7">
        <f t="shared" si="6"/>
        <v>0</v>
      </c>
      <c r="Q20" s="7"/>
      <c r="R20" s="7"/>
      <c r="S20" s="7">
        <f t="shared" si="7"/>
        <v>0</v>
      </c>
      <c r="T20" s="7">
        <f t="shared" si="8"/>
        <v>0</v>
      </c>
      <c r="U20" s="7">
        <f t="shared" si="1"/>
        <v>100000</v>
      </c>
      <c r="V20" s="7">
        <f t="shared" si="9"/>
        <v>100000</v>
      </c>
      <c r="W20" s="7"/>
      <c r="X20" s="7"/>
      <c r="Y20" s="6"/>
      <c r="Z20" s="6">
        <v>930000</v>
      </c>
    </row>
    <row r="21" spans="1:26" s="8" customFormat="1" x14ac:dyDescent="0.25">
      <c r="A21" s="6">
        <f t="shared" si="10"/>
        <v>15</v>
      </c>
      <c r="B21" s="6">
        <v>1984</v>
      </c>
      <c r="C21" s="6" t="s">
        <v>479</v>
      </c>
      <c r="D21" s="7">
        <v>450000</v>
      </c>
      <c r="E21" s="7"/>
      <c r="F21" s="7">
        <f t="shared" si="2"/>
        <v>450000</v>
      </c>
      <c r="G21" s="7"/>
      <c r="H21" s="7"/>
      <c r="I21" s="7"/>
      <c r="J21" s="7"/>
      <c r="K21" s="7">
        <f t="shared" si="11"/>
        <v>0</v>
      </c>
      <c r="L21" s="7">
        <f t="shared" si="4"/>
        <v>0</v>
      </c>
      <c r="M21" s="7">
        <f t="shared" si="5"/>
        <v>0</v>
      </c>
      <c r="N21" s="7">
        <v>100000</v>
      </c>
      <c r="O21" s="7">
        <f t="shared" si="0"/>
        <v>350000</v>
      </c>
      <c r="P21" s="7">
        <f t="shared" si="6"/>
        <v>0</v>
      </c>
      <c r="Q21" s="7"/>
      <c r="R21" s="7"/>
      <c r="S21" s="7">
        <f t="shared" si="7"/>
        <v>0</v>
      </c>
      <c r="T21" s="7">
        <f t="shared" si="8"/>
        <v>0</v>
      </c>
      <c r="U21" s="7">
        <f t="shared" si="1"/>
        <v>100000</v>
      </c>
      <c r="V21" s="7">
        <f t="shared" si="9"/>
        <v>100000</v>
      </c>
      <c r="W21" s="7"/>
      <c r="X21" s="7"/>
      <c r="Y21" s="6"/>
      <c r="Z21" s="6">
        <v>930000</v>
      </c>
    </row>
    <row r="22" spans="1:26" s="8" customFormat="1" x14ac:dyDescent="0.25">
      <c r="A22" s="6">
        <f t="shared" si="10"/>
        <v>16</v>
      </c>
      <c r="B22" s="6">
        <v>1985</v>
      </c>
      <c r="C22" s="6" t="s">
        <v>480</v>
      </c>
      <c r="D22" s="7">
        <v>600000</v>
      </c>
      <c r="E22" s="7"/>
      <c r="F22" s="7">
        <f t="shared" si="2"/>
        <v>600000</v>
      </c>
      <c r="G22" s="7"/>
      <c r="H22" s="7"/>
      <c r="I22" s="7"/>
      <c r="J22" s="7"/>
      <c r="K22" s="7">
        <f t="shared" si="11"/>
        <v>0</v>
      </c>
      <c r="L22" s="7">
        <f t="shared" si="4"/>
        <v>0</v>
      </c>
      <c r="M22" s="7">
        <f t="shared" si="5"/>
        <v>0</v>
      </c>
      <c r="N22" s="7">
        <v>100000</v>
      </c>
      <c r="O22" s="7">
        <f t="shared" si="0"/>
        <v>500000</v>
      </c>
      <c r="P22" s="7">
        <f t="shared" si="6"/>
        <v>0</v>
      </c>
      <c r="Q22" s="7"/>
      <c r="R22" s="7"/>
      <c r="S22" s="7">
        <f t="shared" si="7"/>
        <v>0</v>
      </c>
      <c r="T22" s="7">
        <f t="shared" si="8"/>
        <v>0</v>
      </c>
      <c r="U22" s="7">
        <f t="shared" si="1"/>
        <v>100000</v>
      </c>
      <c r="V22" s="7">
        <f t="shared" si="9"/>
        <v>100000</v>
      </c>
      <c r="W22" s="7"/>
      <c r="X22" s="7"/>
      <c r="Y22" s="6"/>
      <c r="Z22" s="6">
        <v>930000</v>
      </c>
    </row>
    <row r="23" spans="1:26" s="13" customFormat="1" ht="15.6" x14ac:dyDescent="0.25">
      <c r="A23" s="11">
        <f>A22</f>
        <v>16</v>
      </c>
      <c r="B23" s="11" t="s">
        <v>102</v>
      </c>
      <c r="C23" s="11" t="s">
        <v>190</v>
      </c>
      <c r="D23" s="12">
        <f>SUM(D7:D22)</f>
        <v>161539700</v>
      </c>
      <c r="E23" s="12">
        <f t="shared" ref="E23:Y23" si="12">SUM(E7:E22)</f>
        <v>159519700</v>
      </c>
      <c r="F23" s="12">
        <f t="shared" si="12"/>
        <v>2020000</v>
      </c>
      <c r="G23" s="12">
        <f t="shared" si="12"/>
        <v>95872525</v>
      </c>
      <c r="H23" s="12">
        <f t="shared" si="12"/>
        <v>73604299.710000008</v>
      </c>
      <c r="I23" s="12">
        <f t="shared" si="12"/>
        <v>6107</v>
      </c>
      <c r="J23" s="12">
        <f t="shared" si="12"/>
        <v>0</v>
      </c>
      <c r="K23" s="12">
        <f t="shared" si="12"/>
        <v>6107</v>
      </c>
      <c r="L23" s="12">
        <f t="shared" si="12"/>
        <v>73610406.710000008</v>
      </c>
      <c r="M23" s="12">
        <f t="shared" si="12"/>
        <v>22262118.289999999</v>
      </c>
      <c r="N23" s="12">
        <f t="shared" si="12"/>
        <v>2645000</v>
      </c>
      <c r="O23" s="12">
        <f t="shared" si="12"/>
        <v>63022175</v>
      </c>
      <c r="P23" s="12">
        <f t="shared" si="12"/>
        <v>22262118.289999999</v>
      </c>
      <c r="Q23" s="12">
        <f t="shared" si="12"/>
        <v>0</v>
      </c>
      <c r="R23" s="12">
        <f t="shared" si="12"/>
        <v>0</v>
      </c>
      <c r="S23" s="12">
        <f t="shared" si="12"/>
        <v>0</v>
      </c>
      <c r="T23" s="12">
        <f t="shared" si="12"/>
        <v>0</v>
      </c>
      <c r="U23" s="12">
        <f t="shared" si="12"/>
        <v>2645000</v>
      </c>
      <c r="V23" s="12">
        <f t="shared" si="12"/>
        <v>2645000</v>
      </c>
      <c r="W23" s="12">
        <f t="shared" si="12"/>
        <v>0</v>
      </c>
      <c r="X23" s="12">
        <f t="shared" si="12"/>
        <v>0</v>
      </c>
      <c r="Y23" s="12">
        <f t="shared" si="12"/>
        <v>0</v>
      </c>
      <c r="Z23" s="11"/>
    </row>
    <row r="24" spans="1:26" s="8" customFormat="1" x14ac:dyDescent="0.25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>D24-L24-M24-N24</f>
        <v>0</v>
      </c>
      <c r="P24" s="7"/>
      <c r="Q24" s="7"/>
      <c r="R24" s="7"/>
      <c r="S24" s="7"/>
      <c r="T24" s="7">
        <f>P24-M24+R24</f>
        <v>0</v>
      </c>
      <c r="U24" s="7">
        <f t="shared" si="1"/>
        <v>0</v>
      </c>
      <c r="V24" s="7"/>
      <c r="W24" s="7"/>
      <c r="X24" s="7"/>
      <c r="Y24" s="6"/>
      <c r="Z24" s="6"/>
    </row>
    <row r="27" spans="1:26" x14ac:dyDescent="0.25">
      <c r="L27" s="68">
        <f>K23+H23</f>
        <v>73610406.710000008</v>
      </c>
      <c r="M27" s="68">
        <f>L23+P23</f>
        <v>95872525</v>
      </c>
      <c r="P27" s="68">
        <f>G23-L23</f>
        <v>22262118.289999992</v>
      </c>
    </row>
  </sheetData>
  <sheetProtection algorithmName="SHA-512" hashValue="L7c8IZy4WQV0UqcInirIBtPM4KW0dOusqT1kNX3GKL/lX6qaWGqmy5W5yeeWtGZvs1zgRccZksit+HAzr5d3gg==" saltValue="6bnHnqIUUP2Zs8UqwlvYRA==" spinCount="100000" sheet="1" formatCells="0" formatColumns="0" formatRows="0" insertColumns="0" insertRows="0" insertHyperlinks="0" deleteColumns="0" deleteRows="0" sort="0" autoFilter="0" pivotTables="0"/>
  <mergeCells count="1">
    <mergeCell ref="A2:X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4" spans="1:17" ht="21" x14ac:dyDescent="0.25">
      <c r="A4" s="258"/>
      <c r="C4" s="255" t="s">
        <v>743</v>
      </c>
      <c r="D4" s="258"/>
      <c r="E4" s="258"/>
      <c r="F4" s="258"/>
      <c r="G4" s="258"/>
      <c r="H4" s="258"/>
      <c r="I4" s="258"/>
      <c r="J4" s="258"/>
      <c r="K4" s="258"/>
      <c r="L4" s="258"/>
    </row>
    <row r="5" spans="1:17" ht="21.6" thickBot="1" x14ac:dyDescent="0.3">
      <c r="A5" s="258"/>
      <c r="C5" s="255"/>
      <c r="D5" s="258"/>
      <c r="E5" s="258"/>
      <c r="F5" s="258"/>
      <c r="G5" s="258"/>
      <c r="H5" s="258"/>
      <c r="I5" s="258"/>
      <c r="J5" s="258"/>
      <c r="K5" s="258"/>
      <c r="L5" s="258"/>
    </row>
    <row r="6" spans="1:17" ht="16.2" thickBot="1" x14ac:dyDescent="0.3">
      <c r="A6" s="258"/>
      <c r="B6" s="343" t="s">
        <v>588</v>
      </c>
      <c r="C6" s="258" t="s">
        <v>729</v>
      </c>
      <c r="D6" s="258"/>
      <c r="E6" s="258"/>
      <c r="F6" s="360">
        <f>'פרוט שיפוצי בתים עמידר '!U9</f>
        <v>11550000</v>
      </c>
      <c r="I6" s="258"/>
      <c r="J6" s="258"/>
      <c r="K6" s="258"/>
      <c r="L6" s="258"/>
    </row>
    <row r="7" spans="1:17" ht="15.6" x14ac:dyDescent="0.25">
      <c r="B7" s="343"/>
      <c r="C7" s="258"/>
      <c r="D7" s="258"/>
      <c r="E7" s="258"/>
      <c r="F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 t="s">
        <v>588</v>
      </c>
      <c r="C8" s="258" t="s">
        <v>744</v>
      </c>
      <c r="D8" s="258"/>
      <c r="E8" s="258"/>
      <c r="F8" s="258"/>
      <c r="G8" s="258"/>
      <c r="H8" s="258"/>
      <c r="I8" s="258"/>
      <c r="J8" s="258"/>
      <c r="K8" s="258"/>
      <c r="L8" s="258"/>
    </row>
    <row r="9" spans="1:17" ht="15.6" x14ac:dyDescent="0.25">
      <c r="B9" s="343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B10" s="343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</sheetData>
  <sheetProtection algorithmName="SHA-512" hashValue="jZ0WMYU7HEO4SZONOO6eOt2PT8VIw1iwnZAxFSwXPdmpxBfIm27n8VPnE2k2NJJFYB2ON1STIJPdD44xjPmb7Q==" saltValue="K30S0/mpeGJSMPNG/+oSNg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18"/>
  <sheetViews>
    <sheetView showZeros="0" rightToLeft="1" zoomScaleNormal="100" workbookViewId="0">
      <pane xSplit="3" ySplit="4" topLeftCell="D5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6.109375" style="80" customWidth="1"/>
    <col min="4" max="4" width="11" style="105" customWidth="1"/>
    <col min="5" max="5" width="10.88671875" style="105" customWidth="1"/>
    <col min="6" max="6" width="10.33203125" style="105" customWidth="1"/>
    <col min="7" max="10" width="12.6640625" style="105" hidden="1" customWidth="1"/>
    <col min="11" max="11" width="11.33203125" style="105" hidden="1" customWidth="1"/>
    <col min="12" max="12" width="10.6640625" style="105" customWidth="1"/>
    <col min="13" max="13" width="10.88671875" style="105" customWidth="1"/>
    <col min="14" max="14" width="11.109375" style="105" bestFit="1" customWidth="1"/>
    <col min="15" max="15" width="11.109375" style="105" customWidth="1"/>
    <col min="16" max="17" width="11.109375" style="105" hidden="1" customWidth="1"/>
    <col min="18" max="19" width="12" style="105" hidden="1" customWidth="1"/>
    <col min="20" max="20" width="8.44140625" style="105" hidden="1" customWidth="1"/>
    <col min="21" max="21" width="11.88671875" style="80" bestFit="1" customWidth="1"/>
    <col min="22" max="22" width="10.33203125" style="80" bestFit="1" customWidth="1"/>
    <col min="23" max="23" width="9.5546875" style="80" customWidth="1"/>
    <col min="24" max="24" width="9" style="80" hidden="1" customWidth="1"/>
    <col min="25" max="25" width="11.109375" style="80" customWidth="1"/>
    <col min="26" max="26" width="7.88671875" style="80" hidden="1" customWidth="1"/>
    <col min="27" max="16384" width="9.109375" style="80"/>
  </cols>
  <sheetData>
    <row r="2" spans="1:26" ht="18" x14ac:dyDescent="0.35">
      <c r="A2" s="451" t="s">
        <v>272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4" spans="1:26" s="83" customFormat="1" ht="86.25" customHeight="1" x14ac:dyDescent="0.25">
      <c r="A4" s="82" t="s">
        <v>830</v>
      </c>
      <c r="B4" s="82" t="s">
        <v>1</v>
      </c>
      <c r="C4" s="82" t="s">
        <v>2</v>
      </c>
      <c r="D4" s="82" t="s">
        <v>3</v>
      </c>
      <c r="E4" s="82" t="s">
        <v>4</v>
      </c>
      <c r="F4" s="82" t="s">
        <v>5</v>
      </c>
      <c r="G4" s="82" t="s">
        <v>6</v>
      </c>
      <c r="H4" s="82" t="s">
        <v>7</v>
      </c>
      <c r="I4" s="82" t="s">
        <v>8</v>
      </c>
      <c r="J4" s="82" t="s">
        <v>9</v>
      </c>
      <c r="K4" s="82" t="s">
        <v>10</v>
      </c>
      <c r="L4" s="82" t="s">
        <v>11</v>
      </c>
      <c r="M4" s="82" t="s">
        <v>492</v>
      </c>
      <c r="N4" s="82" t="s">
        <v>299</v>
      </c>
      <c r="O4" s="82" t="s">
        <v>300</v>
      </c>
      <c r="P4" s="82" t="s">
        <v>12</v>
      </c>
      <c r="Q4" s="82" t="s">
        <v>301</v>
      </c>
      <c r="R4" s="82" t="s">
        <v>302</v>
      </c>
      <c r="S4" s="82" t="s">
        <v>303</v>
      </c>
      <c r="T4" s="82" t="s">
        <v>304</v>
      </c>
      <c r="U4" s="82" t="s">
        <v>305</v>
      </c>
      <c r="V4" s="82" t="s">
        <v>13</v>
      </c>
      <c r="W4" s="82" t="s">
        <v>14</v>
      </c>
      <c r="X4" s="82" t="s">
        <v>15</v>
      </c>
      <c r="Y4" s="82" t="s">
        <v>223</v>
      </c>
      <c r="Z4" s="82" t="s">
        <v>16</v>
      </c>
    </row>
    <row r="5" spans="1:26" s="87" customFormat="1" x14ac:dyDescent="0.25">
      <c r="A5" s="84"/>
      <c r="B5" s="84"/>
      <c r="C5" s="84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5"/>
    </row>
    <row r="6" spans="1:26" s="87" customFormat="1" x14ac:dyDescent="0.25">
      <c r="A6" s="84">
        <v>1</v>
      </c>
      <c r="B6" s="84">
        <v>529</v>
      </c>
      <c r="C6" s="84" t="s">
        <v>175</v>
      </c>
      <c r="D6" s="88">
        <f>500000+50000</f>
        <v>550000</v>
      </c>
      <c r="E6" s="88">
        <v>500000</v>
      </c>
      <c r="F6" s="88">
        <f>D6-E6</f>
        <v>50000</v>
      </c>
      <c r="G6" s="88">
        <v>450000</v>
      </c>
      <c r="H6" s="88">
        <v>344087.43</v>
      </c>
      <c r="I6" s="88"/>
      <c r="J6" s="88"/>
      <c r="K6" s="88">
        <f>SUM(I6:J6)</f>
        <v>0</v>
      </c>
      <c r="L6" s="88">
        <f>H6+K6</f>
        <v>344087.43</v>
      </c>
      <c r="M6" s="88">
        <f>P6+S6</f>
        <v>155912.57</v>
      </c>
      <c r="N6" s="88">
        <v>50000</v>
      </c>
      <c r="O6" s="88">
        <f>D6-L6-M6-N6</f>
        <v>0</v>
      </c>
      <c r="P6" s="88">
        <f>G6-L6</f>
        <v>105912.57</v>
      </c>
      <c r="Q6" s="149">
        <v>50000</v>
      </c>
      <c r="R6" s="88"/>
      <c r="S6" s="88">
        <f>SUM(Q6:R6)</f>
        <v>50000</v>
      </c>
      <c r="T6" s="88">
        <f>P6-M6+S6</f>
        <v>0</v>
      </c>
      <c r="U6" s="88">
        <f>N6-T6</f>
        <v>50000</v>
      </c>
      <c r="V6" s="88">
        <f>U6-W6-X6-Y6</f>
        <v>50000</v>
      </c>
      <c r="W6" s="88"/>
      <c r="X6" s="88"/>
      <c r="Y6" s="88"/>
      <c r="Z6" s="84">
        <v>764000</v>
      </c>
    </row>
    <row r="7" spans="1:26" s="87" customFormat="1" x14ac:dyDescent="0.25">
      <c r="A7" s="84">
        <f>A6+1</f>
        <v>2</v>
      </c>
      <c r="B7" s="93">
        <v>1209</v>
      </c>
      <c r="C7" s="93" t="s">
        <v>176</v>
      </c>
      <c r="D7" s="88">
        <f>3000000-2060000</f>
        <v>940000</v>
      </c>
      <c r="E7" s="88">
        <v>3000000</v>
      </c>
      <c r="F7" s="88">
        <f>D7-E7</f>
        <v>-2060000</v>
      </c>
      <c r="G7" s="88">
        <v>940000</v>
      </c>
      <c r="H7" s="88">
        <v>912429</v>
      </c>
      <c r="I7" s="88"/>
      <c r="J7" s="88"/>
      <c r="K7" s="88">
        <f>SUM(I7:J7)</f>
        <v>0</v>
      </c>
      <c r="L7" s="88">
        <f>H7+K7</f>
        <v>912429</v>
      </c>
      <c r="M7" s="88">
        <f>P7+S7</f>
        <v>27571</v>
      </c>
      <c r="N7" s="88"/>
      <c r="O7" s="88">
        <f>D7-L7-M7-N7</f>
        <v>0</v>
      </c>
      <c r="P7" s="88">
        <f>G7-L7</f>
        <v>27571</v>
      </c>
      <c r="Q7" s="88"/>
      <c r="R7" s="88"/>
      <c r="S7" s="88">
        <f>SUM(Q7:R7)</f>
        <v>0</v>
      </c>
      <c r="T7" s="88">
        <f>P7-M7+S7</f>
        <v>0</v>
      </c>
      <c r="U7" s="88">
        <f>N7-T7</f>
        <v>0</v>
      </c>
      <c r="V7" s="88">
        <f>U7-W7-X7-Y7</f>
        <v>0</v>
      </c>
      <c r="W7" s="88"/>
      <c r="X7" s="88"/>
      <c r="Y7" s="88"/>
      <c r="Z7" s="84">
        <v>870000</v>
      </c>
    </row>
    <row r="8" spans="1:26" s="87" customFormat="1" ht="16.95" customHeight="1" x14ac:dyDescent="0.25">
      <c r="A8" s="84">
        <v>3</v>
      </c>
      <c r="B8" s="84">
        <v>1210</v>
      </c>
      <c r="C8" s="84" t="s">
        <v>177</v>
      </c>
      <c r="D8" s="88">
        <f>93900000-16900000</f>
        <v>77000000</v>
      </c>
      <c r="E8" s="88">
        <v>77000000</v>
      </c>
      <c r="F8" s="88">
        <f>D8-E8</f>
        <v>0</v>
      </c>
      <c r="G8" s="88">
        <v>53900000</v>
      </c>
      <c r="H8" s="88">
        <v>52825241</v>
      </c>
      <c r="I8" s="88"/>
      <c r="J8" s="88"/>
      <c r="K8" s="88">
        <f>SUM(I8:J8)</f>
        <v>0</v>
      </c>
      <c r="L8" s="88">
        <f>H8+K8</f>
        <v>52825241</v>
      </c>
      <c r="M8" s="88">
        <f>P8+S8</f>
        <v>4424759</v>
      </c>
      <c r="N8" s="88">
        <v>11500000</v>
      </c>
      <c r="O8" s="88">
        <f>D8-L8-M8-N8</f>
        <v>8250000</v>
      </c>
      <c r="P8" s="88">
        <f>G8-L8</f>
        <v>1074759</v>
      </c>
      <c r="Q8" s="151">
        <v>3350000</v>
      </c>
      <c r="R8" s="88"/>
      <c r="S8" s="88">
        <f>SUM(Q8:R8)</f>
        <v>3350000</v>
      </c>
      <c r="T8" s="88">
        <f>P8-M8+S8</f>
        <v>0</v>
      </c>
      <c r="U8" s="88">
        <f>N8-T8</f>
        <v>11500000</v>
      </c>
      <c r="V8" s="88">
        <f>U8-W8-X8-Y8</f>
        <v>0</v>
      </c>
      <c r="W8" s="88"/>
      <c r="X8" s="88"/>
      <c r="Y8" s="88">
        <v>11500000</v>
      </c>
      <c r="Z8" s="84">
        <v>870000</v>
      </c>
    </row>
    <row r="9" spans="1:26" s="120" customFormat="1" ht="15.6" x14ac:dyDescent="0.25">
      <c r="A9" s="28">
        <f>A8</f>
        <v>3</v>
      </c>
      <c r="B9" s="28" t="s">
        <v>102</v>
      </c>
      <c r="C9" s="28" t="s">
        <v>178</v>
      </c>
      <c r="D9" s="101">
        <f t="shared" ref="D9:Y9" si="0">SUM(D6:D8)</f>
        <v>78490000</v>
      </c>
      <c r="E9" s="101">
        <f t="shared" si="0"/>
        <v>80500000</v>
      </c>
      <c r="F9" s="101">
        <f t="shared" si="0"/>
        <v>-2010000</v>
      </c>
      <c r="G9" s="101">
        <f t="shared" si="0"/>
        <v>55290000</v>
      </c>
      <c r="H9" s="101">
        <f t="shared" si="0"/>
        <v>54081757.43</v>
      </c>
      <c r="I9" s="101">
        <f t="shared" si="0"/>
        <v>0</v>
      </c>
      <c r="J9" s="101">
        <f t="shared" si="0"/>
        <v>0</v>
      </c>
      <c r="K9" s="101">
        <f t="shared" si="0"/>
        <v>0</v>
      </c>
      <c r="L9" s="101">
        <f t="shared" si="0"/>
        <v>54081757.43</v>
      </c>
      <c r="M9" s="101">
        <f t="shared" si="0"/>
        <v>4608242.57</v>
      </c>
      <c r="N9" s="101">
        <f t="shared" si="0"/>
        <v>11550000</v>
      </c>
      <c r="O9" s="101">
        <f t="shared" si="0"/>
        <v>8250000</v>
      </c>
      <c r="P9" s="101">
        <f t="shared" si="0"/>
        <v>1208242.57</v>
      </c>
      <c r="Q9" s="101">
        <f t="shared" si="0"/>
        <v>3400000</v>
      </c>
      <c r="R9" s="101">
        <f t="shared" si="0"/>
        <v>0</v>
      </c>
      <c r="S9" s="101">
        <f t="shared" si="0"/>
        <v>3400000</v>
      </c>
      <c r="T9" s="101">
        <f t="shared" si="0"/>
        <v>0</v>
      </c>
      <c r="U9" s="101">
        <f t="shared" si="0"/>
        <v>11550000</v>
      </c>
      <c r="V9" s="101">
        <f t="shared" si="0"/>
        <v>50000</v>
      </c>
      <c r="W9" s="101">
        <f t="shared" si="0"/>
        <v>0</v>
      </c>
      <c r="X9" s="101">
        <f t="shared" si="0"/>
        <v>0</v>
      </c>
      <c r="Y9" s="101">
        <f t="shared" si="0"/>
        <v>11500000</v>
      </c>
      <c r="Z9" s="28"/>
    </row>
    <row r="10" spans="1:26" s="87" customFormat="1" x14ac:dyDescent="0.25">
      <c r="A10" s="84"/>
      <c r="B10" s="84"/>
      <c r="C10" s="84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>
        <f>D10-L10-M10-N10</f>
        <v>0</v>
      </c>
      <c r="P10" s="88"/>
      <c r="Q10" s="88"/>
      <c r="R10" s="88"/>
      <c r="S10" s="88"/>
      <c r="T10" s="88">
        <f>P10-M10+R10</f>
        <v>0</v>
      </c>
      <c r="U10" s="88">
        <f>N10-T10</f>
        <v>0</v>
      </c>
      <c r="V10" s="88"/>
      <c r="W10" s="88"/>
      <c r="X10" s="88"/>
      <c r="Y10" s="84"/>
      <c r="Z10" s="84"/>
    </row>
    <row r="11" spans="1:26" s="123" customFormat="1" x14ac:dyDescent="0.25"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05"/>
      <c r="Q11" s="124"/>
      <c r="R11" s="124"/>
      <c r="S11" s="124"/>
      <c r="T11" s="105"/>
    </row>
    <row r="12" spans="1:26" hidden="1" x14ac:dyDescent="0.25">
      <c r="L12" s="104">
        <f>K9+H9</f>
        <v>54081757.43</v>
      </c>
      <c r="M12" s="104">
        <f>P9+S9</f>
        <v>4608242.57</v>
      </c>
      <c r="N12" s="124"/>
      <c r="P12" s="104">
        <f>G9-L9</f>
        <v>1208242.5700000003</v>
      </c>
    </row>
    <row r="13" spans="1:26" hidden="1" x14ac:dyDescent="0.25"/>
    <row r="14" spans="1:26" hidden="1" x14ac:dyDescent="0.25">
      <c r="P14" s="105" t="s">
        <v>471</v>
      </c>
      <c r="Q14" s="104">
        <f>'[1]שיפוצי בתים עמידר'!$AY$12</f>
        <v>3400000</v>
      </c>
    </row>
    <row r="15" spans="1:26" hidden="1" x14ac:dyDescent="0.25"/>
    <row r="16" spans="1:26" hidden="1" x14ac:dyDescent="0.25">
      <c r="P16" s="105" t="s">
        <v>518</v>
      </c>
      <c r="Q16" s="105">
        <f>'[3]שיפוצי בתים עמידר'!$AZ$11</f>
        <v>900000</v>
      </c>
    </row>
    <row r="17" spans="16:17" hidden="1" x14ac:dyDescent="0.25">
      <c r="P17" s="105" t="s">
        <v>524</v>
      </c>
      <c r="Q17" s="105">
        <f>'[5]שיפוצי בתים עמידר'!$BC$11</f>
        <v>2500000</v>
      </c>
    </row>
    <row r="18" spans="16:17" hidden="1" x14ac:dyDescent="0.25">
      <c r="Q18" s="105">
        <f>SUM(Q16:Q17)</f>
        <v>3400000</v>
      </c>
    </row>
  </sheetData>
  <sheetProtection algorithmName="SHA-512" hashValue="riuk7/RrbSndmgXqLTAPPS6g60nDpxVcuDNnd2o2A+vkThUQiA3Dii9BOMOyekTxBO0vwiLFFIhF67yllkDZaA==" saltValue="qWVtvKS/g1xo2VAkQuG4vQ==" spinCount="100000" sheet="1" formatCells="0" formatColumns="0" formatRows="0" insertColumns="0" insertRows="0" insertHyperlinks="0" deleteColumns="0" deleteRows="0" sort="0" autoFilter="0" pivotTables="0"/>
  <mergeCells count="1">
    <mergeCell ref="A2:Y2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4"/>
  <sheetViews>
    <sheetView showZeros="0" rightToLeft="1" zoomScaleNormal="100" workbookViewId="0">
      <pane xSplit="3" ySplit="5" topLeftCell="D6" activePane="bottomRight" state="frozen"/>
      <selection activeCell="E28" sqref="E28"/>
      <selection pane="topRight" activeCell="E28" sqref="E28"/>
      <selection pane="bottomLeft" activeCell="E28" sqref="E28"/>
      <selection pane="bottomRight" activeCell="E28" sqref="E2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109375" style="21" customWidth="1"/>
    <col min="4" max="4" width="12.6640625" style="19" customWidth="1"/>
    <col min="5" max="5" width="11.109375" style="19" customWidth="1"/>
    <col min="6" max="6" width="10.5546875" style="19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1.5546875" style="19" customWidth="1"/>
    <col min="14" max="14" width="11.109375" style="19" bestFit="1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8.88671875" style="19" hidden="1" customWidth="1"/>
    <col min="21" max="21" width="11.88671875" style="77" bestFit="1" customWidth="1"/>
    <col min="22" max="24" width="11.88671875" style="21" customWidth="1"/>
    <col min="25" max="25" width="12.6640625" style="21" customWidth="1"/>
    <col min="26" max="26" width="7.88671875" style="21" hidden="1" customWidth="1"/>
    <col min="27" max="28" width="9.109375" style="21" customWidth="1"/>
    <col min="29" max="16384" width="9.109375" style="21"/>
  </cols>
  <sheetData>
    <row r="2" spans="1:28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2"/>
    </row>
    <row r="3" spans="1:28" ht="18" x14ac:dyDescent="0.35">
      <c r="A3" s="450" t="s">
        <v>273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</row>
    <row r="5" spans="1:28" s="59" customFormat="1" ht="86.25" customHeight="1" x14ac:dyDescent="0.25">
      <c r="A5" s="4" t="s">
        <v>830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82" t="s">
        <v>492</v>
      </c>
      <c r="N5" s="4" t="s">
        <v>299</v>
      </c>
      <c r="O5" s="4" t="s">
        <v>300</v>
      </c>
      <c r="P5" s="4" t="s">
        <v>12</v>
      </c>
      <c r="Q5" s="4" t="s">
        <v>301</v>
      </c>
      <c r="R5" s="4" t="s">
        <v>302</v>
      </c>
      <c r="S5" s="4" t="s">
        <v>303</v>
      </c>
      <c r="T5" s="4" t="s">
        <v>304</v>
      </c>
      <c r="U5" s="245" t="s">
        <v>305</v>
      </c>
      <c r="V5" s="4" t="s">
        <v>13</v>
      </c>
      <c r="W5" s="4" t="s">
        <v>14</v>
      </c>
      <c r="X5" s="4" t="s">
        <v>15</v>
      </c>
      <c r="Y5" s="4" t="s">
        <v>223</v>
      </c>
      <c r="Z5" s="4" t="s">
        <v>16</v>
      </c>
    </row>
    <row r="6" spans="1:28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5"/>
      <c r="V6" s="7"/>
      <c r="W6" s="7"/>
      <c r="X6" s="7"/>
      <c r="Y6" s="6"/>
      <c r="Z6" s="10"/>
    </row>
    <row r="7" spans="1:28" s="8" customForma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>D7-L7-M7-N7</f>
        <v>0</v>
      </c>
      <c r="P7" s="7"/>
      <c r="Q7" s="7"/>
      <c r="R7" s="7"/>
      <c r="S7" s="7"/>
      <c r="T7" s="7"/>
      <c r="U7" s="15">
        <f>N7-T7</f>
        <v>0</v>
      </c>
      <c r="V7" s="7"/>
      <c r="W7" s="7"/>
      <c r="X7" s="7"/>
      <c r="Y7" s="6"/>
      <c r="Z7" s="6"/>
    </row>
    <row r="8" spans="1:28" s="8" customFormat="1" x14ac:dyDescent="0.25">
      <c r="A8" s="6">
        <f>A7+1</f>
        <v>1</v>
      </c>
      <c r="B8" s="6">
        <v>499</v>
      </c>
      <c r="C8" s="6" t="s">
        <v>481</v>
      </c>
      <c r="D8" s="7">
        <v>1810000</v>
      </c>
      <c r="E8" s="7">
        <v>1810000</v>
      </c>
      <c r="F8" s="7">
        <f t="shared" ref="F8:F19" si="0">D8-E8</f>
        <v>0</v>
      </c>
      <c r="G8" s="7">
        <v>1675000</v>
      </c>
      <c r="H8" s="7">
        <v>1668941.2</v>
      </c>
      <c r="I8" s="7"/>
      <c r="J8" s="7"/>
      <c r="K8" s="7">
        <f t="shared" ref="K8:K19" si="1">SUM(I8:J8)</f>
        <v>0</v>
      </c>
      <c r="L8" s="7">
        <f t="shared" ref="L8:L19" si="2">H8+K8</f>
        <v>1668941.2</v>
      </c>
      <c r="M8" s="7">
        <f t="shared" ref="M8:M19" si="3">P8+S8</f>
        <v>6058.8000000000466</v>
      </c>
      <c r="N8" s="7"/>
      <c r="O8" s="7">
        <f t="shared" ref="O8:O19" si="4">D8-L8-M8-N8</f>
        <v>135000</v>
      </c>
      <c r="P8" s="7">
        <f t="shared" ref="P8:P19" si="5">G8-L8</f>
        <v>6058.8000000000466</v>
      </c>
      <c r="Q8" s="7"/>
      <c r="R8" s="7"/>
      <c r="S8" s="7">
        <f t="shared" ref="S8:S19" si="6">SUM(Q8:R8)</f>
        <v>0</v>
      </c>
      <c r="T8" s="7">
        <f t="shared" ref="T8:T19" si="7">P8-M8+S8</f>
        <v>0</v>
      </c>
      <c r="U8" s="15">
        <f t="shared" ref="U8:U19" si="8">N8-T8</f>
        <v>0</v>
      </c>
      <c r="V8" s="7">
        <f>U8-W8-X8-Y8</f>
        <v>0</v>
      </c>
      <c r="W8" s="7"/>
      <c r="X8" s="7"/>
      <c r="Y8" s="6"/>
      <c r="Z8" s="6">
        <v>760000</v>
      </c>
    </row>
    <row r="9" spans="1:28" s="87" customFormat="1" x14ac:dyDescent="0.25">
      <c r="A9" s="6">
        <f t="shared" ref="A9:A19" si="9">A8+1</f>
        <v>2</v>
      </c>
      <c r="B9" s="84">
        <v>1032</v>
      </c>
      <c r="C9" s="84" t="s">
        <v>432</v>
      </c>
      <c r="D9" s="88">
        <v>40500000</v>
      </c>
      <c r="E9" s="88">
        <v>40500000</v>
      </c>
      <c r="F9" s="88">
        <f>D9-E9</f>
        <v>0</v>
      </c>
      <c r="G9" s="88">
        <v>21260000</v>
      </c>
      <c r="H9" s="88">
        <v>17790841</v>
      </c>
      <c r="I9" s="88">
        <v>1269817</v>
      </c>
      <c r="J9" s="88">
        <v>577071</v>
      </c>
      <c r="K9" s="88">
        <f>SUM(I9:J9)</f>
        <v>1846888</v>
      </c>
      <c r="L9" s="88">
        <f>H9+K9</f>
        <v>19637729</v>
      </c>
      <c r="M9" s="88">
        <f>P9+S9</f>
        <v>1622271</v>
      </c>
      <c r="N9" s="88">
        <f>8000000-3000000</f>
        <v>5000000</v>
      </c>
      <c r="O9" s="88">
        <f t="shared" si="4"/>
        <v>14240000</v>
      </c>
      <c r="P9" s="88">
        <f>G9-L9</f>
        <v>1622271</v>
      </c>
      <c r="Q9" s="88"/>
      <c r="R9" s="88"/>
      <c r="S9" s="88">
        <f>SUM(Q9:R9)</f>
        <v>0</v>
      </c>
      <c r="T9" s="88">
        <f>P9-M9+S9</f>
        <v>0</v>
      </c>
      <c r="U9" s="94">
        <f>N9-T9</f>
        <v>5000000</v>
      </c>
      <c r="V9" s="88">
        <f>U9-Y9-W9-X9</f>
        <v>4900000</v>
      </c>
      <c r="W9" s="88">
        <v>100000</v>
      </c>
      <c r="X9" s="88"/>
      <c r="Y9" s="84"/>
      <c r="Z9" s="84">
        <v>742000</v>
      </c>
      <c r="AA9" s="96"/>
    </row>
    <row r="10" spans="1:28" s="8" customFormat="1" x14ac:dyDescent="0.25">
      <c r="A10" s="6">
        <f t="shared" si="9"/>
        <v>3</v>
      </c>
      <c r="B10" s="6">
        <v>1259</v>
      </c>
      <c r="C10" s="6" t="s">
        <v>156</v>
      </c>
      <c r="D10" s="7">
        <f>4260000+850000+350000</f>
        <v>5460000</v>
      </c>
      <c r="E10" s="7">
        <v>4260000</v>
      </c>
      <c r="F10" s="7">
        <f t="shared" si="0"/>
        <v>1200000</v>
      </c>
      <c r="G10" s="7">
        <v>2760000</v>
      </c>
      <c r="H10" s="7">
        <v>1979832.22</v>
      </c>
      <c r="I10" s="7">
        <v>292500</v>
      </c>
      <c r="J10" s="7">
        <v>139895.73000000001</v>
      </c>
      <c r="K10" s="7">
        <f t="shared" si="1"/>
        <v>432395.73</v>
      </c>
      <c r="L10" s="7">
        <f t="shared" si="2"/>
        <v>2412227.9500000002</v>
      </c>
      <c r="M10" s="7">
        <f t="shared" si="3"/>
        <v>697772.04999999981</v>
      </c>
      <c r="N10" s="7">
        <v>2350000</v>
      </c>
      <c r="O10" s="7">
        <f t="shared" si="4"/>
        <v>0</v>
      </c>
      <c r="P10" s="7">
        <f t="shared" si="5"/>
        <v>347772.04999999981</v>
      </c>
      <c r="Q10" s="150">
        <v>350000</v>
      </c>
      <c r="R10" s="7"/>
      <c r="S10" s="7">
        <f t="shared" si="6"/>
        <v>350000</v>
      </c>
      <c r="T10" s="7">
        <f t="shared" si="7"/>
        <v>0</v>
      </c>
      <c r="U10" s="15">
        <f t="shared" si="8"/>
        <v>2350000</v>
      </c>
      <c r="V10" s="7">
        <f>U10-W10-X10-Y10</f>
        <v>2350000</v>
      </c>
      <c r="W10" s="7"/>
      <c r="X10" s="7"/>
      <c r="Y10" s="6"/>
      <c r="Z10" s="6">
        <v>760000</v>
      </c>
    </row>
    <row r="11" spans="1:28" s="8" customFormat="1" x14ac:dyDescent="0.25">
      <c r="A11" s="6">
        <f t="shared" si="9"/>
        <v>4</v>
      </c>
      <c r="B11" s="6">
        <v>1260</v>
      </c>
      <c r="C11" s="6" t="s">
        <v>157</v>
      </c>
      <c r="D11" s="7">
        <f>7608000+1000000</f>
        <v>8608000</v>
      </c>
      <c r="E11" s="7">
        <v>7608000</v>
      </c>
      <c r="F11" s="7">
        <f t="shared" si="0"/>
        <v>1000000</v>
      </c>
      <c r="G11" s="7">
        <v>7608000</v>
      </c>
      <c r="H11" s="7">
        <v>6762346</v>
      </c>
      <c r="I11" s="7">
        <v>314795</v>
      </c>
      <c r="J11" s="7">
        <v>60345.39</v>
      </c>
      <c r="K11" s="7">
        <f t="shared" si="1"/>
        <v>375140.39</v>
      </c>
      <c r="L11" s="7">
        <f t="shared" si="2"/>
        <v>7137486.3899999997</v>
      </c>
      <c r="M11" s="7">
        <f t="shared" si="3"/>
        <v>470513.61000000034</v>
      </c>
      <c r="N11" s="7">
        <v>1000000</v>
      </c>
      <c r="O11" s="7">
        <f t="shared" si="4"/>
        <v>0</v>
      </c>
      <c r="P11" s="7">
        <f t="shared" si="5"/>
        <v>470513.61000000034</v>
      </c>
      <c r="Q11" s="7"/>
      <c r="R11" s="7"/>
      <c r="S11" s="7">
        <f t="shared" si="6"/>
        <v>0</v>
      </c>
      <c r="T11" s="7">
        <f t="shared" si="7"/>
        <v>0</v>
      </c>
      <c r="U11" s="15">
        <f t="shared" si="8"/>
        <v>1000000</v>
      </c>
      <c r="V11" s="7">
        <f>U11-W11-X11-Y11</f>
        <v>500000</v>
      </c>
      <c r="W11" s="7">
        <v>500000</v>
      </c>
      <c r="X11" s="7"/>
      <c r="Y11" s="6"/>
      <c r="Z11" s="6">
        <v>760000</v>
      </c>
    </row>
    <row r="12" spans="1:28" s="87" customFormat="1" x14ac:dyDescent="0.25">
      <c r="A12" s="6">
        <f t="shared" si="9"/>
        <v>5</v>
      </c>
      <c r="B12" s="84">
        <v>1287</v>
      </c>
      <c r="C12" s="84" t="s">
        <v>108</v>
      </c>
      <c r="D12" s="88">
        <v>500000</v>
      </c>
      <c r="E12" s="88">
        <v>500000</v>
      </c>
      <c r="F12" s="88">
        <f t="shared" si="0"/>
        <v>0</v>
      </c>
      <c r="G12" s="88">
        <v>300000</v>
      </c>
      <c r="H12" s="88">
        <v>199999.49</v>
      </c>
      <c r="I12" s="88"/>
      <c r="J12" s="88"/>
      <c r="K12" s="88">
        <f t="shared" si="1"/>
        <v>0</v>
      </c>
      <c r="L12" s="88">
        <f t="shared" si="2"/>
        <v>199999.49</v>
      </c>
      <c r="M12" s="88">
        <f t="shared" si="3"/>
        <v>100000.51000000001</v>
      </c>
      <c r="N12" s="88"/>
      <c r="O12" s="88">
        <f t="shared" si="4"/>
        <v>200000</v>
      </c>
      <c r="P12" s="88">
        <f t="shared" si="5"/>
        <v>100000.51000000001</v>
      </c>
      <c r="Q12" s="88"/>
      <c r="R12" s="88"/>
      <c r="S12" s="88">
        <f>SUM(Q12:R12)</f>
        <v>0</v>
      </c>
      <c r="T12" s="88">
        <f t="shared" si="7"/>
        <v>0</v>
      </c>
      <c r="U12" s="94">
        <f t="shared" si="8"/>
        <v>0</v>
      </c>
      <c r="V12" s="88"/>
      <c r="W12" s="88">
        <f>U12-V12-X12-Y12</f>
        <v>0</v>
      </c>
      <c r="X12" s="88"/>
      <c r="Y12" s="84"/>
      <c r="Z12" s="89">
        <v>744000</v>
      </c>
      <c r="AA12" s="98"/>
      <c r="AB12" s="98"/>
    </row>
    <row r="13" spans="1:28" s="8" customFormat="1" x14ac:dyDescent="0.25">
      <c r="A13" s="6">
        <f t="shared" si="9"/>
        <v>6</v>
      </c>
      <c r="B13" s="6">
        <v>1422</v>
      </c>
      <c r="C13" s="6" t="s">
        <v>158</v>
      </c>
      <c r="D13" s="7">
        <v>30257000</v>
      </c>
      <c r="E13" s="7">
        <v>30257000</v>
      </c>
      <c r="F13" s="7">
        <f t="shared" si="0"/>
        <v>0</v>
      </c>
      <c r="G13" s="7">
        <v>7257000</v>
      </c>
      <c r="H13" s="7">
        <v>7257000</v>
      </c>
      <c r="I13" s="7"/>
      <c r="J13" s="7"/>
      <c r="K13" s="7">
        <f t="shared" si="1"/>
        <v>0</v>
      </c>
      <c r="L13" s="7">
        <f t="shared" si="2"/>
        <v>7257000</v>
      </c>
      <c r="M13" s="7">
        <f t="shared" si="3"/>
        <v>6925000</v>
      </c>
      <c r="N13" s="7"/>
      <c r="O13" s="7">
        <f t="shared" si="4"/>
        <v>16075000</v>
      </c>
      <c r="P13" s="7">
        <f t="shared" si="5"/>
        <v>0</v>
      </c>
      <c r="Q13" s="7"/>
      <c r="R13" s="199">
        <v>6925000</v>
      </c>
      <c r="S13" s="7">
        <f t="shared" si="6"/>
        <v>6925000</v>
      </c>
      <c r="T13" s="7">
        <f t="shared" si="7"/>
        <v>0</v>
      </c>
      <c r="U13" s="15">
        <f t="shared" si="8"/>
        <v>0</v>
      </c>
      <c r="V13" s="7">
        <f>U13-W13-X13-Y13</f>
        <v>0</v>
      </c>
      <c r="W13" s="7"/>
      <c r="X13" s="7"/>
      <c r="Y13" s="6"/>
      <c r="Z13" s="6">
        <v>730000</v>
      </c>
    </row>
    <row r="14" spans="1:28" s="8" customFormat="1" x14ac:dyDescent="0.25">
      <c r="A14" s="6">
        <f t="shared" si="9"/>
        <v>7</v>
      </c>
      <c r="B14" s="6">
        <v>1436</v>
      </c>
      <c r="C14" s="6" t="s">
        <v>159</v>
      </c>
      <c r="D14" s="7">
        <v>120000</v>
      </c>
      <c r="E14" s="7">
        <v>120000</v>
      </c>
      <c r="F14" s="7">
        <f t="shared" si="0"/>
        <v>0</v>
      </c>
      <c r="G14" s="7">
        <v>120000</v>
      </c>
      <c r="H14" s="7">
        <v>33974</v>
      </c>
      <c r="I14" s="7"/>
      <c r="J14" s="7"/>
      <c r="K14" s="7">
        <f t="shared" si="1"/>
        <v>0</v>
      </c>
      <c r="L14" s="7">
        <f t="shared" si="2"/>
        <v>33974</v>
      </c>
      <c r="M14" s="7">
        <f t="shared" si="3"/>
        <v>86026</v>
      </c>
      <c r="N14" s="7"/>
      <c r="O14" s="7">
        <f t="shared" si="4"/>
        <v>0</v>
      </c>
      <c r="P14" s="7">
        <f t="shared" si="5"/>
        <v>86026</v>
      </c>
      <c r="Q14" s="7"/>
      <c r="R14" s="7"/>
      <c r="S14" s="7">
        <f t="shared" si="6"/>
        <v>0</v>
      </c>
      <c r="T14" s="7">
        <f t="shared" si="7"/>
        <v>0</v>
      </c>
      <c r="U14" s="15">
        <f t="shared" si="8"/>
        <v>0</v>
      </c>
      <c r="V14" s="7">
        <f>U14-W14-X14-Y14</f>
        <v>0</v>
      </c>
      <c r="W14" s="7"/>
      <c r="X14" s="7"/>
      <c r="Y14" s="6"/>
      <c r="Z14" s="6">
        <v>620000</v>
      </c>
    </row>
    <row r="15" spans="1:28" s="8" customFormat="1" x14ac:dyDescent="0.25">
      <c r="A15" s="6">
        <f t="shared" si="9"/>
        <v>8</v>
      </c>
      <c r="B15" s="6">
        <v>1489</v>
      </c>
      <c r="C15" s="6" t="s">
        <v>482</v>
      </c>
      <c r="D15" s="7">
        <v>46200000</v>
      </c>
      <c r="E15" s="7">
        <v>46200000</v>
      </c>
      <c r="F15" s="7">
        <f t="shared" si="0"/>
        <v>0</v>
      </c>
      <c r="G15" s="7">
        <v>25500000</v>
      </c>
      <c r="H15" s="7">
        <v>23229141</v>
      </c>
      <c r="I15" s="7">
        <v>1760214</v>
      </c>
      <c r="J15" s="7">
        <v>7416.97</v>
      </c>
      <c r="K15" s="7">
        <f t="shared" si="1"/>
        <v>1767630.97</v>
      </c>
      <c r="L15" s="7">
        <f t="shared" si="2"/>
        <v>24996771.969999999</v>
      </c>
      <c r="M15" s="7">
        <f t="shared" si="3"/>
        <v>503228.03000000119</v>
      </c>
      <c r="N15" s="7">
        <v>4000000</v>
      </c>
      <c r="O15" s="7">
        <f t="shared" si="4"/>
        <v>16700000</v>
      </c>
      <c r="P15" s="7">
        <f t="shared" si="5"/>
        <v>503228.03000000119</v>
      </c>
      <c r="Q15" s="7"/>
      <c r="R15" s="7"/>
      <c r="S15" s="7">
        <f t="shared" si="6"/>
        <v>0</v>
      </c>
      <c r="T15" s="7">
        <f t="shared" si="7"/>
        <v>0</v>
      </c>
      <c r="U15" s="15">
        <f t="shared" si="8"/>
        <v>4000000</v>
      </c>
      <c r="V15" s="7"/>
      <c r="W15" s="7">
        <f>U15-V15-X15-Y15</f>
        <v>4000000</v>
      </c>
      <c r="X15" s="7"/>
      <c r="Y15" s="6"/>
      <c r="Z15" s="6">
        <v>742000</v>
      </c>
    </row>
    <row r="16" spans="1:28" s="8" customFormat="1" x14ac:dyDescent="0.25">
      <c r="A16" s="6">
        <f t="shared" si="9"/>
        <v>9</v>
      </c>
      <c r="B16" s="6">
        <v>1688</v>
      </c>
      <c r="C16" s="6" t="s">
        <v>160</v>
      </c>
      <c r="D16" s="7">
        <v>15133000</v>
      </c>
      <c r="E16" s="7">
        <v>15133000</v>
      </c>
      <c r="F16" s="7">
        <f t="shared" si="0"/>
        <v>0</v>
      </c>
      <c r="G16" s="7">
        <v>15133000</v>
      </c>
      <c r="H16" s="7">
        <v>15133000</v>
      </c>
      <c r="I16" s="7"/>
      <c r="J16" s="7"/>
      <c r="K16" s="7">
        <f t="shared" si="1"/>
        <v>0</v>
      </c>
      <c r="L16" s="7">
        <f t="shared" si="2"/>
        <v>15133000</v>
      </c>
      <c r="M16" s="7">
        <f t="shared" si="3"/>
        <v>0</v>
      </c>
      <c r="N16" s="7"/>
      <c r="O16" s="7">
        <f t="shared" si="4"/>
        <v>0</v>
      </c>
      <c r="P16" s="7">
        <f t="shared" si="5"/>
        <v>0</v>
      </c>
      <c r="Q16" s="7"/>
      <c r="R16" s="7"/>
      <c r="S16" s="7">
        <f t="shared" si="6"/>
        <v>0</v>
      </c>
      <c r="T16" s="7">
        <f t="shared" si="7"/>
        <v>0</v>
      </c>
      <c r="U16" s="15">
        <f t="shared" si="8"/>
        <v>0</v>
      </c>
      <c r="V16" s="7">
        <f>U16-W16-X16-Y16</f>
        <v>0</v>
      </c>
      <c r="W16" s="7"/>
      <c r="X16" s="7"/>
      <c r="Y16" s="6"/>
      <c r="Z16" s="6">
        <v>990000</v>
      </c>
    </row>
    <row r="17" spans="1:26" s="8" customFormat="1" x14ac:dyDescent="0.25">
      <c r="A17" s="6">
        <f t="shared" si="9"/>
        <v>10</v>
      </c>
      <c r="B17" s="6">
        <v>1793</v>
      </c>
      <c r="C17" s="6" t="s">
        <v>228</v>
      </c>
      <c r="D17" s="7">
        <f>11588000-7491599+69619</f>
        <v>4166020</v>
      </c>
      <c r="E17" s="7">
        <v>11588000</v>
      </c>
      <c r="F17" s="7">
        <f>D17-E17</f>
        <v>-7421980</v>
      </c>
      <c r="G17" s="7">
        <v>4700000</v>
      </c>
      <c r="H17" s="7">
        <v>1299827.6399999999</v>
      </c>
      <c r="I17" s="7">
        <v>934702.64</v>
      </c>
      <c r="J17" s="7"/>
      <c r="K17" s="7">
        <f>SUM(I17:J17)</f>
        <v>934702.64</v>
      </c>
      <c r="L17" s="7">
        <f>H17+K17</f>
        <v>2234530.2799999998</v>
      </c>
      <c r="M17" s="7">
        <f>P17+S17-603599+69619</f>
        <v>1931489.7200000002</v>
      </c>
      <c r="N17" s="7"/>
      <c r="O17" s="7">
        <f>D17-L17-M17-N17</f>
        <v>0</v>
      </c>
      <c r="P17" s="7">
        <f>G17-L17</f>
        <v>2465469.7200000002</v>
      </c>
      <c r="Q17" s="7"/>
      <c r="R17" s="7"/>
      <c r="S17" s="7">
        <f>SUM(Q17:R17)</f>
        <v>0</v>
      </c>
      <c r="T17" s="7">
        <f>P17-M17+S17</f>
        <v>533980</v>
      </c>
      <c r="U17" s="15">
        <f>N17-T17</f>
        <v>-533980</v>
      </c>
      <c r="V17" s="7">
        <f>U17-W17-X17-Y17</f>
        <v>-548940</v>
      </c>
      <c r="W17" s="7">
        <v>14960</v>
      </c>
      <c r="X17" s="7"/>
      <c r="Y17" s="6"/>
      <c r="Z17" s="6">
        <v>742000</v>
      </c>
    </row>
    <row r="18" spans="1:26" s="8" customFormat="1" x14ac:dyDescent="0.25">
      <c r="A18" s="6">
        <f t="shared" si="9"/>
        <v>11</v>
      </c>
      <c r="B18" s="6">
        <v>1945</v>
      </c>
      <c r="C18" s="6" t="s">
        <v>535</v>
      </c>
      <c r="D18" s="7">
        <v>230000</v>
      </c>
      <c r="E18" s="7">
        <v>230000</v>
      </c>
      <c r="F18" s="7">
        <f t="shared" si="0"/>
        <v>0</v>
      </c>
      <c r="G18" s="7"/>
      <c r="H18" s="7"/>
      <c r="I18" s="7"/>
      <c r="J18" s="7"/>
      <c r="K18" s="7">
        <f t="shared" si="1"/>
        <v>0</v>
      </c>
      <c r="L18" s="7">
        <f t="shared" si="2"/>
        <v>0</v>
      </c>
      <c r="M18" s="7">
        <f t="shared" si="3"/>
        <v>230000</v>
      </c>
      <c r="N18" s="7"/>
      <c r="O18" s="7">
        <f t="shared" si="4"/>
        <v>0</v>
      </c>
      <c r="P18" s="7">
        <f t="shared" si="5"/>
        <v>0</v>
      </c>
      <c r="Q18" s="7"/>
      <c r="R18" s="7">
        <v>230000</v>
      </c>
      <c r="S18" s="7">
        <f t="shared" si="6"/>
        <v>230000</v>
      </c>
      <c r="T18" s="7">
        <f t="shared" si="7"/>
        <v>0</v>
      </c>
      <c r="U18" s="15">
        <f t="shared" si="8"/>
        <v>0</v>
      </c>
      <c r="V18" s="7">
        <f>U18-W18-X18-Y18</f>
        <v>0</v>
      </c>
      <c r="W18" s="7"/>
      <c r="X18" s="7"/>
      <c r="Y18" s="6"/>
      <c r="Z18" s="6">
        <v>760000</v>
      </c>
    </row>
    <row r="19" spans="1:26" s="8" customFormat="1" x14ac:dyDescent="0.25">
      <c r="A19" s="6">
        <f t="shared" si="9"/>
        <v>12</v>
      </c>
      <c r="B19" s="6">
        <v>1986</v>
      </c>
      <c r="C19" s="6" t="s">
        <v>483</v>
      </c>
      <c r="D19" s="7">
        <v>10000000</v>
      </c>
      <c r="E19" s="7"/>
      <c r="F19" s="7">
        <f t="shared" si="0"/>
        <v>10000000</v>
      </c>
      <c r="G19" s="7"/>
      <c r="H19" s="7"/>
      <c r="I19" s="7"/>
      <c r="J19" s="7"/>
      <c r="K19" s="7">
        <f t="shared" si="1"/>
        <v>0</v>
      </c>
      <c r="L19" s="7">
        <f t="shared" si="2"/>
        <v>0</v>
      </c>
      <c r="M19" s="7">
        <f t="shared" si="3"/>
        <v>0</v>
      </c>
      <c r="N19" s="7">
        <f>5000000+400000-1000000</f>
        <v>4400000</v>
      </c>
      <c r="O19" s="7">
        <f t="shared" si="4"/>
        <v>5600000</v>
      </c>
      <c r="P19" s="7">
        <f t="shared" si="5"/>
        <v>0</v>
      </c>
      <c r="Q19" s="7"/>
      <c r="R19" s="7"/>
      <c r="S19" s="7">
        <f t="shared" si="6"/>
        <v>0</v>
      </c>
      <c r="T19" s="7">
        <f t="shared" si="7"/>
        <v>0</v>
      </c>
      <c r="U19" s="15">
        <f t="shared" si="8"/>
        <v>4400000</v>
      </c>
      <c r="V19" s="7">
        <f>U19-W19-X19-Y19</f>
        <v>1000000</v>
      </c>
      <c r="W19" s="7">
        <f>2000000+1000000+400000</f>
        <v>3400000</v>
      </c>
      <c r="X19" s="7"/>
      <c r="Y19" s="6"/>
      <c r="Z19" s="6">
        <v>742000</v>
      </c>
    </row>
    <row r="20" spans="1:26" s="13" customFormat="1" ht="15.6" x14ac:dyDescent="0.25">
      <c r="A20" s="11">
        <f>A19</f>
        <v>12</v>
      </c>
      <c r="B20" s="11" t="s">
        <v>102</v>
      </c>
      <c r="C20" s="11" t="s">
        <v>161</v>
      </c>
      <c r="D20" s="12">
        <f>SUM(D8:D19)</f>
        <v>162984020</v>
      </c>
      <c r="E20" s="12">
        <f t="shared" ref="E20:V20" si="10">SUM(E8:E19)</f>
        <v>158206000</v>
      </c>
      <c r="F20" s="12">
        <f t="shared" si="10"/>
        <v>4778020</v>
      </c>
      <c r="G20" s="12">
        <f t="shared" si="10"/>
        <v>86313000</v>
      </c>
      <c r="H20" s="12">
        <f t="shared" si="10"/>
        <v>75354902.549999997</v>
      </c>
      <c r="I20" s="12">
        <f t="shared" si="10"/>
        <v>4572028.6399999997</v>
      </c>
      <c r="J20" s="12">
        <f t="shared" si="10"/>
        <v>784729.09</v>
      </c>
      <c r="K20" s="12">
        <f t="shared" si="10"/>
        <v>5356757.7299999995</v>
      </c>
      <c r="L20" s="12">
        <f t="shared" si="10"/>
        <v>80711660.280000001</v>
      </c>
      <c r="M20" s="12">
        <f t="shared" si="10"/>
        <v>12572359.720000001</v>
      </c>
      <c r="N20" s="12">
        <f t="shared" si="10"/>
        <v>16750000</v>
      </c>
      <c r="O20" s="12">
        <f t="shared" si="10"/>
        <v>52950000</v>
      </c>
      <c r="P20" s="12">
        <f t="shared" si="10"/>
        <v>5601339.7200000007</v>
      </c>
      <c r="Q20" s="12">
        <f t="shared" si="10"/>
        <v>350000</v>
      </c>
      <c r="R20" s="12">
        <f t="shared" si="10"/>
        <v>7155000</v>
      </c>
      <c r="S20" s="12">
        <f t="shared" si="10"/>
        <v>7505000</v>
      </c>
      <c r="T20" s="12">
        <f t="shared" si="10"/>
        <v>533980</v>
      </c>
      <c r="U20" s="12">
        <f t="shared" si="10"/>
        <v>16216020</v>
      </c>
      <c r="V20" s="12">
        <f t="shared" si="10"/>
        <v>8201060</v>
      </c>
      <c r="W20" s="12">
        <f>SUM(W8:W19)</f>
        <v>8014960</v>
      </c>
      <c r="X20" s="12">
        <f>SUM(X8:X19)</f>
        <v>0</v>
      </c>
      <c r="Y20" s="12">
        <f>SUM(Y8:Y19)</f>
        <v>0</v>
      </c>
      <c r="Z20" s="11"/>
    </row>
    <row r="21" spans="1:26" s="8" customFormat="1" x14ac:dyDescent="0.25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>D21-L21-M21-N21</f>
        <v>0</v>
      </c>
      <c r="P21" s="7"/>
      <c r="Q21" s="7"/>
      <c r="R21" s="7"/>
      <c r="S21" s="7"/>
      <c r="T21" s="7">
        <f>P21-M21+R21</f>
        <v>0</v>
      </c>
      <c r="U21" s="15">
        <f>N21-T21</f>
        <v>0</v>
      </c>
      <c r="V21" s="7"/>
      <c r="W21" s="7"/>
      <c r="X21" s="7"/>
      <c r="Y21" s="6"/>
      <c r="Z21" s="6"/>
    </row>
    <row r="23" spans="1:26" hidden="1" x14ac:dyDescent="0.25">
      <c r="L23" s="68">
        <f>K20+H20</f>
        <v>80711660.280000001</v>
      </c>
      <c r="M23" s="68">
        <f>P20+S20</f>
        <v>13106339.720000001</v>
      </c>
      <c r="N23" s="18"/>
      <c r="P23" s="68">
        <f>G20-L20</f>
        <v>5601339.7199999988</v>
      </c>
    </row>
    <row r="25" spans="1:26" x14ac:dyDescent="0.25">
      <c r="Q25" s="19">
        <f>[1]כללי!$AY$18</f>
        <v>350000</v>
      </c>
    </row>
    <row r="27" spans="1:26" x14ac:dyDescent="0.25">
      <c r="P27" s="19" t="s">
        <v>518</v>
      </c>
      <c r="Q27" s="19">
        <f>[3]כללי!$AZ$17</f>
        <v>350000</v>
      </c>
    </row>
    <row r="29" spans="1:26" x14ac:dyDescent="0.25">
      <c r="R29" s="19">
        <f>'[1]ריכוז תקציבים מעבר לתוכנית 31.8'!$AD$164</f>
        <v>7155000</v>
      </c>
    </row>
    <row r="31" spans="1:26" x14ac:dyDescent="0.25">
      <c r="R31" s="19">
        <f>'[1]ריכוז תקציבים מעבר לתוכנית 31.8'!$AD$164</f>
        <v>7155000</v>
      </c>
    </row>
    <row r="33" spans="17:19" x14ac:dyDescent="0.25">
      <c r="Q33" s="19" t="s">
        <v>517</v>
      </c>
      <c r="R33" s="19">
        <v>6925000</v>
      </c>
    </row>
    <row r="34" spans="17:19" x14ac:dyDescent="0.25">
      <c r="Q34" s="19" t="s">
        <v>531</v>
      </c>
      <c r="R34" s="19">
        <f>R20-R33</f>
        <v>230000</v>
      </c>
      <c r="S34" s="19" t="s">
        <v>536</v>
      </c>
    </row>
  </sheetData>
  <sheetProtection algorithmName="SHA-512" hashValue="yRPzPzp2OXQUrY364HLGq7/Ntf6KVgBtB67nFgIHIrxISVLmLJ4Re9ORfMPlRevbnXhI3UXMvkCPsbMhyp2LKw==" saltValue="R+5c5tAXPUUFWDX2YHPlAw==" spinCount="100000" sheet="1" formatCells="0" formatColumns="0" formatRows="0" insertColumns="0" insertRows="0" insertHyperlinks="0" deleteColumns="0" deleteRows="0" sort="0" autoFilter="0" pivotTables="0"/>
  <mergeCells count="2">
    <mergeCell ref="A2:W2"/>
    <mergeCell ref="A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8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4.88671875" style="253" customWidth="1"/>
    <col min="5" max="5" width="30.44140625" style="253" customWidth="1"/>
    <col min="6" max="6" width="10.88671875" style="253" customWidth="1"/>
    <col min="7" max="7" width="5.5546875" style="253" customWidth="1"/>
    <col min="8" max="9" width="12.109375" style="253" customWidth="1"/>
    <col min="10" max="10" width="7.88671875" style="253" customWidth="1"/>
    <col min="11" max="16384" width="9.109375" style="253"/>
  </cols>
  <sheetData>
    <row r="4" spans="1:17" ht="21" x14ac:dyDescent="0.25">
      <c r="A4" s="258"/>
      <c r="C4" s="255" t="s">
        <v>273</v>
      </c>
      <c r="D4" s="258"/>
      <c r="E4" s="258"/>
      <c r="F4" s="258"/>
      <c r="G4" s="258"/>
      <c r="H4" s="258"/>
      <c r="I4" s="258"/>
      <c r="J4" s="258"/>
      <c r="K4" s="258"/>
      <c r="L4" s="258"/>
    </row>
    <row r="5" spans="1:17" ht="21.6" thickBot="1" x14ac:dyDescent="0.3">
      <c r="A5" s="258"/>
      <c r="C5" s="255"/>
      <c r="D5" s="258"/>
      <c r="E5" s="258"/>
      <c r="F5" s="258"/>
      <c r="G5" s="258"/>
      <c r="H5" s="258"/>
      <c r="I5" s="258"/>
      <c r="J5" s="258"/>
      <c r="K5" s="258"/>
      <c r="L5" s="258"/>
    </row>
    <row r="6" spans="1:17" ht="16.2" thickBot="1" x14ac:dyDescent="0.3">
      <c r="A6" s="258"/>
      <c r="B6" s="343" t="s">
        <v>588</v>
      </c>
      <c r="C6" s="258" t="s">
        <v>729</v>
      </c>
      <c r="D6" s="258"/>
      <c r="E6" s="258"/>
      <c r="F6" s="360">
        <f>'פרוט כללי '!U20</f>
        <v>16216020</v>
      </c>
      <c r="I6" s="258"/>
      <c r="J6" s="258"/>
      <c r="K6" s="258"/>
      <c r="L6" s="258"/>
    </row>
    <row r="7" spans="1:17" ht="15.6" x14ac:dyDescent="0.25">
      <c r="B7" s="343"/>
      <c r="C7" s="258"/>
      <c r="D7" s="258"/>
      <c r="E7" s="258"/>
      <c r="F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17" ht="15.6" x14ac:dyDescent="0.25">
      <c r="B8" s="343" t="s">
        <v>588</v>
      </c>
      <c r="C8" s="258" t="s">
        <v>698</v>
      </c>
      <c r="D8" s="258"/>
      <c r="E8" s="258"/>
      <c r="F8" s="258"/>
      <c r="G8" s="258"/>
      <c r="H8" s="258"/>
      <c r="I8" s="258"/>
      <c r="J8" s="258"/>
      <c r="K8" s="258"/>
      <c r="L8" s="258"/>
    </row>
    <row r="9" spans="1:17" ht="16.2" thickBot="1" x14ac:dyDescent="0.3"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15.6" x14ac:dyDescent="0.25">
      <c r="D10" s="359" t="s">
        <v>571</v>
      </c>
      <c r="E10" s="353" t="s">
        <v>693</v>
      </c>
      <c r="F10" s="352" t="s">
        <v>697</v>
      </c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</row>
    <row r="11" spans="1:17" ht="15.6" x14ac:dyDescent="0.25">
      <c r="C11" s="343"/>
      <c r="D11" s="351" t="s">
        <v>13</v>
      </c>
      <c r="E11" s="365">
        <f>'פרוט כללי '!V20</f>
        <v>8201060</v>
      </c>
      <c r="F11" s="362">
        <f>E11/$E$13</f>
        <v>0.5057381527649818</v>
      </c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15.6" x14ac:dyDescent="0.25">
      <c r="C12" s="343"/>
      <c r="D12" s="351" t="s">
        <v>14</v>
      </c>
      <c r="E12" s="365">
        <f>'פרוט כללי '!W20</f>
        <v>8014960</v>
      </c>
      <c r="F12" s="362">
        <f>E12/$E$13</f>
        <v>0.4942618472350182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</row>
    <row r="13" spans="1:17" ht="16.2" thickBot="1" x14ac:dyDescent="0.3">
      <c r="C13" s="343"/>
      <c r="D13" s="350" t="s">
        <v>248</v>
      </c>
      <c r="E13" s="366">
        <f>SUM(E11:E12)</f>
        <v>16216020</v>
      </c>
      <c r="F13" s="408">
        <f>SUM(F11:F12)</f>
        <v>1</v>
      </c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</row>
    <row r="14" spans="1:17" ht="15.6" x14ac:dyDescent="0.25">
      <c r="B14" s="343"/>
      <c r="C14" s="258"/>
      <c r="D14" s="258"/>
      <c r="E14" s="258"/>
      <c r="F14" s="258"/>
      <c r="G14" s="258"/>
      <c r="H14" s="258"/>
      <c r="I14" s="258"/>
      <c r="J14" s="258"/>
      <c r="K14" s="258"/>
      <c r="L14" s="258"/>
    </row>
    <row r="15" spans="1:17" ht="15.6" x14ac:dyDescent="0.25">
      <c r="B15" s="343" t="s">
        <v>588</v>
      </c>
      <c r="C15" s="258" t="s">
        <v>706</v>
      </c>
      <c r="D15" s="258"/>
      <c r="F15" s="258"/>
      <c r="H15" s="265"/>
      <c r="I15" s="258"/>
      <c r="J15" s="258"/>
      <c r="K15" s="258"/>
      <c r="L15" s="258"/>
      <c r="M15" s="258"/>
      <c r="N15" s="258"/>
      <c r="O15" s="258"/>
      <c r="P15" s="258"/>
      <c r="Q15" s="258"/>
    </row>
    <row r="16" spans="1:17" ht="15.6" x14ac:dyDescent="0.25">
      <c r="C16" s="258" t="s">
        <v>833</v>
      </c>
      <c r="D16" s="258"/>
      <c r="E16" s="258"/>
      <c r="F16" s="258"/>
      <c r="H16" s="258"/>
      <c r="I16" s="258"/>
      <c r="J16" s="258"/>
      <c r="K16" s="258"/>
      <c r="L16" s="258"/>
    </row>
    <row r="17" spans="2:17" ht="15.6" x14ac:dyDescent="0.25">
      <c r="B17" s="343"/>
      <c r="C17" s="258" t="s">
        <v>745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2:17" ht="15.6" x14ac:dyDescent="0.25">
      <c r="B18" s="343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</row>
  </sheetData>
  <sheetProtection algorithmName="SHA-512" hashValue="Af/o00YpYu9XVf1f1zbDoLfFIJ8HPzZFwM0Ud8/QthxXR7y4um8qcxWn2VVCAPhRyK0S9TJV0/FLdieXM3eXPA==" saltValue="WGFW+kyzTBYCvQOha3Lse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151"/>
  <sheetViews>
    <sheetView showZeros="0" rightToLeft="1" zoomScaleNormal="100" workbookViewId="0">
      <pane xSplit="3" ySplit="5" topLeftCell="D96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4.33203125" style="80" customWidth="1"/>
    <col min="2" max="2" width="6.6640625" style="80" customWidth="1"/>
    <col min="3" max="3" width="38.33203125" style="80" customWidth="1"/>
    <col min="4" max="4" width="11.33203125" style="213" customWidth="1"/>
    <col min="5" max="5" width="11.88671875" style="105" customWidth="1"/>
    <col min="6" max="6" width="11.109375" style="105" customWidth="1"/>
    <col min="7" max="10" width="12.6640625" style="105" hidden="1" customWidth="1"/>
    <col min="11" max="11" width="11.33203125" style="105" hidden="1" customWidth="1"/>
    <col min="12" max="12" width="11.44140625" style="105" customWidth="1"/>
    <col min="13" max="14" width="11.109375" style="213" bestFit="1" customWidth="1"/>
    <col min="15" max="15" width="12.6640625" style="213" customWidth="1"/>
    <col min="16" max="17" width="11.109375" style="213" hidden="1" customWidth="1"/>
    <col min="18" max="18" width="12" style="213" hidden="1" customWidth="1"/>
    <col min="19" max="19" width="11.6640625" style="213" hidden="1" customWidth="1"/>
    <col min="20" max="20" width="10.44140625" style="213" customWidth="1"/>
    <col min="21" max="21" width="10.6640625" style="211" customWidth="1"/>
    <col min="22" max="22" width="11.109375" style="80" customWidth="1"/>
    <col min="23" max="23" width="7" style="80" hidden="1" customWidth="1"/>
    <col min="24" max="24" width="4.88671875" style="80" hidden="1" customWidth="1"/>
    <col min="25" max="25" width="10" style="80" customWidth="1"/>
    <col min="26" max="26" width="7.88671875" style="80" customWidth="1"/>
    <col min="27" max="27" width="13" style="80" customWidth="1"/>
    <col min="28" max="28" width="10.109375" style="80" customWidth="1"/>
    <col min="29" max="29" width="9.109375" style="80"/>
    <col min="30" max="30" width="10.88671875" style="80" customWidth="1"/>
    <col min="31" max="32" width="9.109375" style="80" customWidth="1"/>
    <col min="33" max="16384" width="9.109375" style="80"/>
  </cols>
  <sheetData>
    <row r="2" spans="1:32" s="79" customFormat="1" ht="18" x14ac:dyDescent="0.35">
      <c r="A2" s="449" t="s">
        <v>298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</row>
    <row r="3" spans="1:32" ht="18" x14ac:dyDescent="0.35">
      <c r="A3" s="449" t="s">
        <v>491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</row>
    <row r="4" spans="1:32" x14ac:dyDescent="0.25">
      <c r="D4" s="212"/>
      <c r="E4" s="195"/>
      <c r="F4" s="195"/>
      <c r="G4" s="195"/>
      <c r="H4" s="195"/>
      <c r="I4" s="195"/>
      <c r="J4" s="195"/>
      <c r="K4" s="195"/>
      <c r="L4" s="195"/>
      <c r="M4" s="212"/>
      <c r="N4" s="212"/>
      <c r="O4" s="212"/>
      <c r="P4" s="212"/>
      <c r="Q4" s="212"/>
      <c r="R4" s="212"/>
      <c r="S4" s="212"/>
      <c r="T4" s="212"/>
      <c r="U4" s="208"/>
      <c r="V4" s="196"/>
      <c r="W4" s="196"/>
      <c r="X4" s="196"/>
      <c r="Y4" s="196"/>
    </row>
    <row r="5" spans="1:32" s="83" customFormat="1" ht="86.25" customHeight="1" x14ac:dyDescent="0.25">
      <c r="A5" s="82" t="s">
        <v>0</v>
      </c>
      <c r="B5" s="82" t="s">
        <v>1</v>
      </c>
      <c r="C5" s="82" t="s">
        <v>2</v>
      </c>
      <c r="D5" s="169" t="s">
        <v>3</v>
      </c>
      <c r="E5" s="82" t="s">
        <v>4</v>
      </c>
      <c r="F5" s="82" t="s">
        <v>5</v>
      </c>
      <c r="G5" s="82" t="s">
        <v>6</v>
      </c>
      <c r="H5" s="82" t="s">
        <v>7</v>
      </c>
      <c r="I5" s="82" t="s">
        <v>8</v>
      </c>
      <c r="J5" s="82" t="s">
        <v>9</v>
      </c>
      <c r="K5" s="82" t="s">
        <v>10</v>
      </c>
      <c r="L5" s="82" t="s">
        <v>11</v>
      </c>
      <c r="M5" s="169" t="s">
        <v>492</v>
      </c>
      <c r="N5" s="169" t="s">
        <v>299</v>
      </c>
      <c r="O5" s="169" t="s">
        <v>300</v>
      </c>
      <c r="P5" s="169" t="s">
        <v>12</v>
      </c>
      <c r="Q5" s="169" t="s">
        <v>301</v>
      </c>
      <c r="R5" s="169" t="s">
        <v>302</v>
      </c>
      <c r="S5" s="169" t="s">
        <v>303</v>
      </c>
      <c r="T5" s="169" t="s">
        <v>304</v>
      </c>
      <c r="U5" s="169" t="s">
        <v>305</v>
      </c>
      <c r="V5" s="82" t="s">
        <v>13</v>
      </c>
      <c r="W5" s="82" t="s">
        <v>14</v>
      </c>
      <c r="X5" s="82" t="s">
        <v>15</v>
      </c>
      <c r="Y5" s="82" t="s">
        <v>223</v>
      </c>
      <c r="Z5" s="82" t="s">
        <v>16</v>
      </c>
    </row>
    <row r="6" spans="1:32" s="87" customFormat="1" x14ac:dyDescent="0.25">
      <c r="A6" s="84"/>
      <c r="B6" s="84"/>
      <c r="C6" s="84"/>
      <c r="D6" s="94"/>
      <c r="E6" s="88"/>
      <c r="F6" s="88"/>
      <c r="G6" s="88"/>
      <c r="H6" s="88"/>
      <c r="I6" s="88"/>
      <c r="J6" s="88"/>
      <c r="K6" s="88"/>
      <c r="L6" s="88"/>
      <c r="M6" s="94"/>
      <c r="N6" s="94"/>
      <c r="O6" s="94"/>
      <c r="P6" s="94"/>
      <c r="Q6" s="94"/>
      <c r="R6" s="94"/>
      <c r="S6" s="94"/>
      <c r="T6" s="94"/>
      <c r="U6" s="94"/>
      <c r="V6" s="88"/>
      <c r="W6" s="88"/>
      <c r="X6" s="88"/>
      <c r="Y6" s="84"/>
      <c r="Z6" s="84"/>
    </row>
    <row r="7" spans="1:32" s="87" customFormat="1" x14ac:dyDescent="0.25">
      <c r="A7" s="84">
        <f>A6+1</f>
        <v>1</v>
      </c>
      <c r="B7" s="84">
        <v>1395</v>
      </c>
      <c r="C7" s="84" t="s">
        <v>82</v>
      </c>
      <c r="D7" s="94">
        <f>4000000-2239000</f>
        <v>1761000</v>
      </c>
      <c r="E7" s="88">
        <v>4000000</v>
      </c>
      <c r="F7" s="88">
        <f t="shared" ref="F7:F34" si="0">D7-E7</f>
        <v>-2239000</v>
      </c>
      <c r="G7" s="88">
        <v>2170000</v>
      </c>
      <c r="H7" s="88">
        <v>1631124.76</v>
      </c>
      <c r="I7" s="88">
        <v>29805.3</v>
      </c>
      <c r="J7" s="88"/>
      <c r="K7" s="88">
        <f t="shared" ref="K7:K14" si="1">SUM(I7:J7)</f>
        <v>29805.3</v>
      </c>
      <c r="L7" s="88">
        <f t="shared" ref="L7:L14" si="2">H7+K7</f>
        <v>1660930.06</v>
      </c>
      <c r="M7" s="94">
        <f>P7+S7-409000</f>
        <v>100069.93999999994</v>
      </c>
      <c r="N7" s="94"/>
      <c r="O7" s="94">
        <f t="shared" ref="O7:O38" si="3">D7-L7-M7-N7</f>
        <v>0</v>
      </c>
      <c r="P7" s="94">
        <f t="shared" ref="P7:P14" si="4">G7-L7</f>
        <v>509069.93999999994</v>
      </c>
      <c r="Q7" s="94"/>
      <c r="R7" s="94"/>
      <c r="S7" s="94">
        <f t="shared" ref="S7:S14" si="5">SUM(Q7:R7)</f>
        <v>0</v>
      </c>
      <c r="T7" s="94">
        <f t="shared" ref="T7:T14" si="6">P7-M7+S7</f>
        <v>409000</v>
      </c>
      <c r="U7" s="94">
        <f t="shared" ref="U7:U38" si="7">N7-T7</f>
        <v>-409000</v>
      </c>
      <c r="V7" s="88">
        <f t="shared" ref="V7:V38" si="8">U7-Y7-W7-X7</f>
        <v>-409000</v>
      </c>
      <c r="W7" s="88"/>
      <c r="X7" s="88"/>
      <c r="Y7" s="84"/>
      <c r="Z7" s="84">
        <v>731000</v>
      </c>
    </row>
    <row r="8" spans="1:32" s="87" customFormat="1" x14ac:dyDescent="0.25">
      <c r="A8" s="84">
        <f>A7+1</f>
        <v>2</v>
      </c>
      <c r="B8" s="84">
        <v>179</v>
      </c>
      <c r="C8" s="84" t="s">
        <v>48</v>
      </c>
      <c r="D8" s="94">
        <v>3000000</v>
      </c>
      <c r="E8" s="88">
        <v>3000000</v>
      </c>
      <c r="F8" s="88">
        <f t="shared" si="0"/>
        <v>0</v>
      </c>
      <c r="G8" s="88">
        <v>2895250</v>
      </c>
      <c r="H8" s="88">
        <v>2612020.5499999998</v>
      </c>
      <c r="I8" s="88">
        <v>89797</v>
      </c>
      <c r="J8" s="88"/>
      <c r="K8" s="88">
        <f t="shared" si="1"/>
        <v>89797</v>
      </c>
      <c r="L8" s="88">
        <f t="shared" si="2"/>
        <v>2701817.55</v>
      </c>
      <c r="M8" s="94">
        <f>P8+S8</f>
        <v>268432.45000000019</v>
      </c>
      <c r="N8" s="94"/>
      <c r="O8" s="94">
        <f t="shared" si="3"/>
        <v>29750</v>
      </c>
      <c r="P8" s="94">
        <f t="shared" si="4"/>
        <v>193432.45000000019</v>
      </c>
      <c r="Q8" s="94">
        <v>75000</v>
      </c>
      <c r="R8" s="94"/>
      <c r="S8" s="94">
        <f t="shared" si="5"/>
        <v>75000</v>
      </c>
      <c r="T8" s="94">
        <f t="shared" si="6"/>
        <v>0</v>
      </c>
      <c r="U8" s="94">
        <f t="shared" si="7"/>
        <v>0</v>
      </c>
      <c r="V8" s="88">
        <f t="shared" si="8"/>
        <v>0</v>
      </c>
      <c r="W8" s="88"/>
      <c r="X8" s="88"/>
      <c r="Y8" s="84"/>
      <c r="Z8" s="84">
        <v>732000</v>
      </c>
    </row>
    <row r="9" spans="1:32" s="87" customFormat="1" ht="27.6" x14ac:dyDescent="0.25">
      <c r="A9" s="84">
        <f>A8+1</f>
        <v>3</v>
      </c>
      <c r="B9" s="93">
        <v>626</v>
      </c>
      <c r="C9" s="93" t="s">
        <v>500</v>
      </c>
      <c r="D9" s="94">
        <v>20025000</v>
      </c>
      <c r="E9" s="94">
        <v>20025000</v>
      </c>
      <c r="F9" s="94">
        <f t="shared" si="0"/>
        <v>0</v>
      </c>
      <c r="G9" s="94">
        <v>14325000</v>
      </c>
      <c r="H9" s="94">
        <v>13508398.77</v>
      </c>
      <c r="I9" s="94">
        <v>148625</v>
      </c>
      <c r="J9" s="94">
        <v>225737.12</v>
      </c>
      <c r="K9" s="94">
        <f t="shared" si="1"/>
        <v>374362.12</v>
      </c>
      <c r="L9" s="94">
        <f t="shared" si="2"/>
        <v>13882760.889999999</v>
      </c>
      <c r="M9" s="94">
        <f>P9+S9</f>
        <v>642239.11000000127</v>
      </c>
      <c r="N9" s="94"/>
      <c r="O9" s="94">
        <f t="shared" si="3"/>
        <v>5500000</v>
      </c>
      <c r="P9" s="94">
        <f t="shared" si="4"/>
        <v>442239.11000000127</v>
      </c>
      <c r="Q9" s="94">
        <v>200000</v>
      </c>
      <c r="R9" s="94"/>
      <c r="S9" s="94">
        <f t="shared" si="5"/>
        <v>200000</v>
      </c>
      <c r="T9" s="94">
        <f t="shared" si="6"/>
        <v>0</v>
      </c>
      <c r="U9" s="94">
        <f t="shared" si="7"/>
        <v>0</v>
      </c>
      <c r="V9" s="94">
        <f t="shared" si="8"/>
        <v>0</v>
      </c>
      <c r="W9" s="94"/>
      <c r="X9" s="94"/>
      <c r="Y9" s="93"/>
      <c r="Z9" s="93">
        <v>732000</v>
      </c>
      <c r="AA9" s="95"/>
      <c r="AB9" s="95"/>
      <c r="AC9" s="95"/>
      <c r="AD9" s="95"/>
      <c r="AE9" s="95"/>
      <c r="AF9" s="95"/>
    </row>
    <row r="10" spans="1:32" s="87" customFormat="1" x14ac:dyDescent="0.25">
      <c r="A10" s="84">
        <f t="shared" ref="A10:A56" si="9">A9+1</f>
        <v>4</v>
      </c>
      <c r="B10" s="84">
        <v>1220</v>
      </c>
      <c r="C10" s="84" t="s">
        <v>53</v>
      </c>
      <c r="D10" s="94">
        <v>5600000</v>
      </c>
      <c r="E10" s="88">
        <v>4900000</v>
      </c>
      <c r="F10" s="88">
        <f t="shared" si="0"/>
        <v>700000</v>
      </c>
      <c r="G10" s="88">
        <v>5100000</v>
      </c>
      <c r="H10" s="88">
        <v>3753527.33</v>
      </c>
      <c r="I10" s="88">
        <v>909328.58</v>
      </c>
      <c r="J10" s="88">
        <v>55983.4</v>
      </c>
      <c r="K10" s="88">
        <f t="shared" si="1"/>
        <v>965311.98</v>
      </c>
      <c r="L10" s="88">
        <f t="shared" si="2"/>
        <v>4718839.3100000005</v>
      </c>
      <c r="M10" s="94">
        <f>P10+S10</f>
        <v>381160.68999999948</v>
      </c>
      <c r="N10" s="94">
        <f>300000+200000</f>
        <v>500000</v>
      </c>
      <c r="O10" s="94">
        <f t="shared" si="3"/>
        <v>0</v>
      </c>
      <c r="P10" s="94">
        <f t="shared" si="4"/>
        <v>381160.68999999948</v>
      </c>
      <c r="Q10" s="94"/>
      <c r="R10" s="94"/>
      <c r="S10" s="94">
        <f t="shared" si="5"/>
        <v>0</v>
      </c>
      <c r="T10" s="94">
        <f t="shared" si="6"/>
        <v>0</v>
      </c>
      <c r="U10" s="94">
        <f t="shared" si="7"/>
        <v>500000</v>
      </c>
      <c r="V10" s="88">
        <f t="shared" si="8"/>
        <v>500000</v>
      </c>
      <c r="W10" s="88"/>
      <c r="X10" s="88"/>
      <c r="Y10" s="88"/>
      <c r="Z10" s="84">
        <v>732000</v>
      </c>
    </row>
    <row r="11" spans="1:32" s="87" customFormat="1" x14ac:dyDescent="0.25">
      <c r="A11" s="84">
        <f t="shared" si="9"/>
        <v>5</v>
      </c>
      <c r="B11" s="84">
        <v>1576</v>
      </c>
      <c r="C11" s="84" t="s">
        <v>87</v>
      </c>
      <c r="D11" s="94">
        <f>1000000</f>
        <v>1000000</v>
      </c>
      <c r="E11" s="88">
        <v>1000000</v>
      </c>
      <c r="F11" s="88">
        <f t="shared" si="0"/>
        <v>0</v>
      </c>
      <c r="G11" s="88">
        <v>600000</v>
      </c>
      <c r="H11" s="88">
        <v>350511.17</v>
      </c>
      <c r="I11" s="88"/>
      <c r="J11" s="88">
        <v>62499.24</v>
      </c>
      <c r="K11" s="88">
        <f t="shared" si="1"/>
        <v>62499.24</v>
      </c>
      <c r="L11" s="88">
        <f t="shared" si="2"/>
        <v>413010.41</v>
      </c>
      <c r="M11" s="94">
        <f>P11+S11-100000</f>
        <v>86989.590000000026</v>
      </c>
      <c r="N11" s="94"/>
      <c r="O11" s="94">
        <f t="shared" si="3"/>
        <v>500000.00000000006</v>
      </c>
      <c r="P11" s="94">
        <f t="shared" si="4"/>
        <v>186989.59000000003</v>
      </c>
      <c r="Q11" s="94"/>
      <c r="R11" s="94"/>
      <c r="S11" s="94">
        <f t="shared" si="5"/>
        <v>0</v>
      </c>
      <c r="T11" s="94">
        <f t="shared" si="6"/>
        <v>100000</v>
      </c>
      <c r="U11" s="94">
        <f t="shared" si="7"/>
        <v>-100000</v>
      </c>
      <c r="V11" s="88">
        <f t="shared" si="8"/>
        <v>-100000</v>
      </c>
      <c r="W11" s="88"/>
      <c r="X11" s="88"/>
      <c r="Y11" s="84"/>
      <c r="Z11" s="84">
        <v>732000</v>
      </c>
    </row>
    <row r="12" spans="1:32" s="87" customFormat="1" x14ac:dyDescent="0.25">
      <c r="A12" s="84">
        <f t="shared" si="9"/>
        <v>6</v>
      </c>
      <c r="B12" s="84">
        <v>1672</v>
      </c>
      <c r="C12" s="84" t="s">
        <v>29</v>
      </c>
      <c r="D12" s="94">
        <v>500000</v>
      </c>
      <c r="E12" s="88">
        <v>500000</v>
      </c>
      <c r="F12" s="88">
        <f t="shared" si="0"/>
        <v>0</v>
      </c>
      <c r="G12" s="88">
        <v>500000</v>
      </c>
      <c r="H12" s="88">
        <v>67688.149999999994</v>
      </c>
      <c r="I12" s="88">
        <v>57997.59</v>
      </c>
      <c r="J12" s="88"/>
      <c r="K12" s="88">
        <f t="shared" si="1"/>
        <v>57997.59</v>
      </c>
      <c r="L12" s="88">
        <f t="shared" si="2"/>
        <v>125685.73999999999</v>
      </c>
      <c r="M12" s="94">
        <f>P12+S12</f>
        <v>374314.26</v>
      </c>
      <c r="N12" s="94"/>
      <c r="O12" s="94">
        <f t="shared" si="3"/>
        <v>0</v>
      </c>
      <c r="P12" s="94">
        <f t="shared" si="4"/>
        <v>374314.26</v>
      </c>
      <c r="Q12" s="94"/>
      <c r="R12" s="94"/>
      <c r="S12" s="94">
        <f t="shared" si="5"/>
        <v>0</v>
      </c>
      <c r="T12" s="94">
        <f t="shared" si="6"/>
        <v>0</v>
      </c>
      <c r="U12" s="94">
        <f t="shared" si="7"/>
        <v>0</v>
      </c>
      <c r="V12" s="88">
        <f t="shared" si="8"/>
        <v>0</v>
      </c>
      <c r="W12" s="88"/>
      <c r="X12" s="88"/>
      <c r="Y12" s="88"/>
      <c r="Z12" s="84">
        <v>732000</v>
      </c>
    </row>
    <row r="13" spans="1:32" s="87" customFormat="1" x14ac:dyDescent="0.25">
      <c r="A13" s="84">
        <f t="shared" si="9"/>
        <v>7</v>
      </c>
      <c r="B13" s="84">
        <v>1673</v>
      </c>
      <c r="C13" s="84" t="s">
        <v>30</v>
      </c>
      <c r="D13" s="94">
        <v>200000</v>
      </c>
      <c r="E13" s="88">
        <v>200000</v>
      </c>
      <c r="F13" s="88">
        <f t="shared" si="0"/>
        <v>0</v>
      </c>
      <c r="G13" s="88">
        <v>200000</v>
      </c>
      <c r="H13" s="88">
        <v>66023.8</v>
      </c>
      <c r="I13" s="88">
        <v>23397.78</v>
      </c>
      <c r="J13" s="88"/>
      <c r="K13" s="88">
        <f t="shared" si="1"/>
        <v>23397.78</v>
      </c>
      <c r="L13" s="88">
        <f t="shared" si="2"/>
        <v>89421.58</v>
      </c>
      <c r="M13" s="94">
        <f>P13+S13</f>
        <v>110578.42</v>
      </c>
      <c r="N13" s="94"/>
      <c r="O13" s="94">
        <f t="shared" si="3"/>
        <v>0</v>
      </c>
      <c r="P13" s="94">
        <f t="shared" si="4"/>
        <v>110578.42</v>
      </c>
      <c r="Q13" s="94"/>
      <c r="R13" s="94"/>
      <c r="S13" s="94">
        <f t="shared" si="5"/>
        <v>0</v>
      </c>
      <c r="T13" s="94">
        <f t="shared" si="6"/>
        <v>0</v>
      </c>
      <c r="U13" s="94">
        <f t="shared" si="7"/>
        <v>0</v>
      </c>
      <c r="V13" s="88">
        <f t="shared" si="8"/>
        <v>0</v>
      </c>
      <c r="W13" s="88"/>
      <c r="X13" s="88"/>
      <c r="Y13" s="88"/>
      <c r="Z13" s="84">
        <v>732000</v>
      </c>
      <c r="AB13" s="92"/>
      <c r="AC13" s="92"/>
      <c r="AD13" s="92"/>
      <c r="AE13" s="92"/>
      <c r="AF13" s="92"/>
    </row>
    <row r="14" spans="1:32" s="87" customFormat="1" x14ac:dyDescent="0.25">
      <c r="A14" s="84">
        <f t="shared" si="9"/>
        <v>8</v>
      </c>
      <c r="B14" s="84">
        <v>1748</v>
      </c>
      <c r="C14" s="84" t="s">
        <v>67</v>
      </c>
      <c r="D14" s="94">
        <f>1000000-880000</f>
        <v>120000</v>
      </c>
      <c r="E14" s="88">
        <v>1000000</v>
      </c>
      <c r="F14" s="94">
        <f t="shared" si="0"/>
        <v>-880000</v>
      </c>
      <c r="G14" s="88">
        <v>300000</v>
      </c>
      <c r="H14" s="88">
        <v>53100</v>
      </c>
      <c r="I14" s="88">
        <v>5900</v>
      </c>
      <c r="J14" s="88">
        <v>29281</v>
      </c>
      <c r="K14" s="88">
        <f t="shared" si="1"/>
        <v>35181</v>
      </c>
      <c r="L14" s="88">
        <f t="shared" si="2"/>
        <v>88281</v>
      </c>
      <c r="M14" s="94">
        <f>P14+S14-180000</f>
        <v>31719</v>
      </c>
      <c r="N14" s="94"/>
      <c r="O14" s="94">
        <f t="shared" si="3"/>
        <v>0</v>
      </c>
      <c r="P14" s="94">
        <f t="shared" si="4"/>
        <v>211719</v>
      </c>
      <c r="Q14" s="94"/>
      <c r="R14" s="94"/>
      <c r="S14" s="94">
        <f t="shared" si="5"/>
        <v>0</v>
      </c>
      <c r="T14" s="94">
        <f t="shared" si="6"/>
        <v>180000</v>
      </c>
      <c r="U14" s="94">
        <f t="shared" si="7"/>
        <v>-180000</v>
      </c>
      <c r="V14" s="88">
        <f t="shared" si="8"/>
        <v>-180000</v>
      </c>
      <c r="W14" s="88"/>
      <c r="X14" s="88"/>
      <c r="Y14" s="84"/>
      <c r="Z14" s="84">
        <v>732000</v>
      </c>
    </row>
    <row r="15" spans="1:32" s="87" customFormat="1" x14ac:dyDescent="0.25">
      <c r="A15" s="84">
        <f t="shared" si="9"/>
        <v>9</v>
      </c>
      <c r="B15" s="93">
        <v>1949</v>
      </c>
      <c r="C15" s="93" t="s">
        <v>433</v>
      </c>
      <c r="D15" s="94">
        <v>1000000</v>
      </c>
      <c r="E15" s="94"/>
      <c r="F15" s="94">
        <f t="shared" si="0"/>
        <v>1000000</v>
      </c>
      <c r="G15" s="94"/>
      <c r="H15" s="94"/>
      <c r="I15" s="94"/>
      <c r="J15" s="94"/>
      <c r="K15" s="94"/>
      <c r="L15" s="94"/>
      <c r="M15" s="94"/>
      <c r="N15" s="94">
        <v>500000</v>
      </c>
      <c r="O15" s="94">
        <f t="shared" si="3"/>
        <v>500000</v>
      </c>
      <c r="P15" s="94"/>
      <c r="Q15" s="94"/>
      <c r="R15" s="94"/>
      <c r="S15" s="94"/>
      <c r="T15" s="94"/>
      <c r="U15" s="94">
        <f t="shared" si="7"/>
        <v>500000</v>
      </c>
      <c r="V15" s="94">
        <f t="shared" si="8"/>
        <v>0</v>
      </c>
      <c r="W15" s="94"/>
      <c r="X15" s="94"/>
      <c r="Y15" s="94">
        <v>500000</v>
      </c>
      <c r="Z15" s="93">
        <v>732000</v>
      </c>
      <c r="AA15" s="95"/>
      <c r="AB15" s="95"/>
      <c r="AC15" s="95"/>
      <c r="AD15" s="95"/>
      <c r="AE15" s="95"/>
      <c r="AF15" s="95"/>
    </row>
    <row r="16" spans="1:32" s="92" customFormat="1" x14ac:dyDescent="0.25">
      <c r="A16" s="84">
        <f t="shared" si="9"/>
        <v>10</v>
      </c>
      <c r="B16" s="84">
        <v>580</v>
      </c>
      <c r="C16" s="84" t="s">
        <v>17</v>
      </c>
      <c r="D16" s="94">
        <f>1700000-51000</f>
        <v>1649000</v>
      </c>
      <c r="E16" s="88">
        <v>1700000</v>
      </c>
      <c r="F16" s="88">
        <f t="shared" si="0"/>
        <v>-51000</v>
      </c>
      <c r="G16" s="88">
        <v>1700000</v>
      </c>
      <c r="H16" s="88">
        <v>1583332.35</v>
      </c>
      <c r="I16" s="88">
        <v>47168.6</v>
      </c>
      <c r="J16" s="88">
        <v>17601.87</v>
      </c>
      <c r="K16" s="88">
        <f t="shared" ref="K16:K36" si="10">SUM(I16:J16)</f>
        <v>64770.47</v>
      </c>
      <c r="L16" s="88">
        <f t="shared" ref="L16:L36" si="11">H16+K16</f>
        <v>1648102.82</v>
      </c>
      <c r="M16" s="94">
        <f>P16+S16-51000</f>
        <v>897.17999999993481</v>
      </c>
      <c r="N16" s="94"/>
      <c r="O16" s="94">
        <f t="shared" si="3"/>
        <v>0</v>
      </c>
      <c r="P16" s="94">
        <f t="shared" ref="P16:P36" si="12">G16-L16</f>
        <v>51897.179999999935</v>
      </c>
      <c r="Q16" s="94"/>
      <c r="R16" s="94"/>
      <c r="S16" s="94">
        <f t="shared" ref="S16:S56" si="13">SUM(Q16:R16)</f>
        <v>0</v>
      </c>
      <c r="T16" s="94">
        <f t="shared" ref="T16:T36" si="14">P16-M16+S16</f>
        <v>51000</v>
      </c>
      <c r="U16" s="94">
        <f t="shared" si="7"/>
        <v>-51000</v>
      </c>
      <c r="V16" s="88">
        <f t="shared" si="8"/>
        <v>-51000</v>
      </c>
      <c r="W16" s="88"/>
      <c r="X16" s="88"/>
      <c r="Y16" s="84"/>
      <c r="Z16" s="84">
        <v>732000</v>
      </c>
      <c r="AA16" s="87"/>
      <c r="AB16" s="87"/>
      <c r="AC16" s="87"/>
      <c r="AD16" s="87"/>
      <c r="AE16" s="87"/>
      <c r="AF16" s="87"/>
    </row>
    <row r="17" spans="1:32" s="87" customFormat="1" x14ac:dyDescent="0.25">
      <c r="A17" s="84">
        <f t="shared" si="9"/>
        <v>11</v>
      </c>
      <c r="B17" s="84">
        <v>609</v>
      </c>
      <c r="C17" s="84" t="s">
        <v>18</v>
      </c>
      <c r="D17" s="94">
        <f>1365000-132000</f>
        <v>1233000</v>
      </c>
      <c r="E17" s="88">
        <v>1365000</v>
      </c>
      <c r="F17" s="88">
        <f t="shared" si="0"/>
        <v>-132000</v>
      </c>
      <c r="G17" s="88">
        <v>1285000</v>
      </c>
      <c r="H17" s="88">
        <v>1227215.69</v>
      </c>
      <c r="I17" s="88">
        <v>5200</v>
      </c>
      <c r="J17" s="88"/>
      <c r="K17" s="88">
        <f t="shared" si="10"/>
        <v>5200</v>
      </c>
      <c r="L17" s="88">
        <f t="shared" si="11"/>
        <v>1232415.69</v>
      </c>
      <c r="M17" s="94">
        <f>P17+S17-52000</f>
        <v>584.31000000005588</v>
      </c>
      <c r="N17" s="94"/>
      <c r="O17" s="94">
        <f t="shared" si="3"/>
        <v>0</v>
      </c>
      <c r="P17" s="94">
        <f t="shared" si="12"/>
        <v>52584.310000000056</v>
      </c>
      <c r="Q17" s="94"/>
      <c r="R17" s="94"/>
      <c r="S17" s="94">
        <f t="shared" si="13"/>
        <v>0</v>
      </c>
      <c r="T17" s="94">
        <f t="shared" si="14"/>
        <v>52000</v>
      </c>
      <c r="U17" s="94">
        <f t="shared" si="7"/>
        <v>-52000</v>
      </c>
      <c r="V17" s="88">
        <f t="shared" si="8"/>
        <v>-52000</v>
      </c>
      <c r="W17" s="88"/>
      <c r="X17" s="88"/>
      <c r="Y17" s="84"/>
      <c r="Z17" s="84">
        <v>732000</v>
      </c>
    </row>
    <row r="18" spans="1:32" s="87" customFormat="1" x14ac:dyDescent="0.25">
      <c r="A18" s="84">
        <f t="shared" si="9"/>
        <v>12</v>
      </c>
      <c r="B18" s="84">
        <v>1100</v>
      </c>
      <c r="C18" s="84" t="s">
        <v>19</v>
      </c>
      <c r="D18" s="94">
        <v>7000000</v>
      </c>
      <c r="E18" s="88">
        <v>7000000</v>
      </c>
      <c r="F18" s="88">
        <f t="shared" si="0"/>
        <v>0</v>
      </c>
      <c r="G18" s="88">
        <v>5100000</v>
      </c>
      <c r="H18" s="88">
        <v>2267178</v>
      </c>
      <c r="I18" s="88">
        <v>157268.72</v>
      </c>
      <c r="J18" s="88">
        <v>1387976.52</v>
      </c>
      <c r="K18" s="88">
        <f t="shared" si="10"/>
        <v>1545245.24</v>
      </c>
      <c r="L18" s="88">
        <f t="shared" si="11"/>
        <v>3812423.24</v>
      </c>
      <c r="M18" s="94">
        <f>P18+S18</f>
        <v>1287576.7599999998</v>
      </c>
      <c r="N18" s="94">
        <v>600000</v>
      </c>
      <c r="O18" s="94">
        <f t="shared" si="3"/>
        <v>1300000</v>
      </c>
      <c r="P18" s="94">
        <f t="shared" si="12"/>
        <v>1287576.7599999998</v>
      </c>
      <c r="Q18" s="94"/>
      <c r="R18" s="94"/>
      <c r="S18" s="94">
        <f t="shared" si="13"/>
        <v>0</v>
      </c>
      <c r="T18" s="94">
        <f t="shared" si="14"/>
        <v>0</v>
      </c>
      <c r="U18" s="94">
        <f t="shared" si="7"/>
        <v>600000</v>
      </c>
      <c r="V18" s="88">
        <f t="shared" si="8"/>
        <v>600000</v>
      </c>
      <c r="W18" s="88"/>
      <c r="X18" s="88"/>
      <c r="Y18" s="84"/>
      <c r="Z18" s="84">
        <v>732000</v>
      </c>
    </row>
    <row r="19" spans="1:32" s="87" customFormat="1" x14ac:dyDescent="0.25">
      <c r="A19" s="84">
        <f t="shared" si="9"/>
        <v>13</v>
      </c>
      <c r="B19" s="84">
        <v>1326</v>
      </c>
      <c r="C19" s="84" t="s">
        <v>20</v>
      </c>
      <c r="D19" s="94">
        <f>300000</f>
        <v>300000</v>
      </c>
      <c r="E19" s="88">
        <v>300000</v>
      </c>
      <c r="F19" s="88">
        <f t="shared" si="0"/>
        <v>0</v>
      </c>
      <c r="G19" s="88">
        <v>300000</v>
      </c>
      <c r="H19" s="88">
        <v>51468.25</v>
      </c>
      <c r="I19" s="88">
        <v>140229.28</v>
      </c>
      <c r="J19" s="88"/>
      <c r="K19" s="88">
        <f t="shared" si="10"/>
        <v>140229.28</v>
      </c>
      <c r="L19" s="88">
        <f t="shared" si="11"/>
        <v>191697.53</v>
      </c>
      <c r="M19" s="94">
        <f>P19+S19-108000</f>
        <v>302.47000000000116</v>
      </c>
      <c r="N19" s="94"/>
      <c r="O19" s="94">
        <f t="shared" si="3"/>
        <v>108000</v>
      </c>
      <c r="P19" s="94">
        <f t="shared" si="12"/>
        <v>108302.47</v>
      </c>
      <c r="Q19" s="94"/>
      <c r="R19" s="94"/>
      <c r="S19" s="94">
        <f t="shared" si="13"/>
        <v>0</v>
      </c>
      <c r="T19" s="94">
        <f t="shared" si="14"/>
        <v>108000</v>
      </c>
      <c r="U19" s="94">
        <f t="shared" si="7"/>
        <v>-108000</v>
      </c>
      <c r="V19" s="88">
        <f t="shared" si="8"/>
        <v>-108000</v>
      </c>
      <c r="W19" s="88"/>
      <c r="X19" s="88"/>
      <c r="Y19" s="84"/>
      <c r="Z19" s="84">
        <v>732000</v>
      </c>
      <c r="AB19" s="92"/>
      <c r="AC19" s="92"/>
      <c r="AD19" s="92"/>
      <c r="AE19" s="92"/>
      <c r="AF19" s="92"/>
    </row>
    <row r="20" spans="1:32" s="95" customFormat="1" x14ac:dyDescent="0.25">
      <c r="A20" s="84">
        <f t="shared" si="9"/>
        <v>14</v>
      </c>
      <c r="B20" s="93">
        <v>1406</v>
      </c>
      <c r="C20" s="93" t="s">
        <v>319</v>
      </c>
      <c r="D20" s="94">
        <v>1100000</v>
      </c>
      <c r="E20" s="94">
        <v>700000</v>
      </c>
      <c r="F20" s="94">
        <f t="shared" si="0"/>
        <v>400000</v>
      </c>
      <c r="G20" s="94">
        <v>700000</v>
      </c>
      <c r="H20" s="94">
        <v>502601</v>
      </c>
      <c r="I20" s="94">
        <v>49768.05</v>
      </c>
      <c r="J20" s="94">
        <v>147566</v>
      </c>
      <c r="K20" s="94">
        <f t="shared" si="10"/>
        <v>197334.05</v>
      </c>
      <c r="L20" s="94">
        <f t="shared" si="11"/>
        <v>699935.05</v>
      </c>
      <c r="M20" s="94">
        <f>P20+S20</f>
        <v>64.949999999953434</v>
      </c>
      <c r="N20" s="94">
        <f>100000+200000</f>
        <v>300000</v>
      </c>
      <c r="O20" s="94">
        <f t="shared" si="3"/>
        <v>100000</v>
      </c>
      <c r="P20" s="94">
        <f t="shared" si="12"/>
        <v>64.949999999953434</v>
      </c>
      <c r="Q20" s="94"/>
      <c r="R20" s="94"/>
      <c r="S20" s="94">
        <f t="shared" si="13"/>
        <v>0</v>
      </c>
      <c r="T20" s="94">
        <f t="shared" si="14"/>
        <v>0</v>
      </c>
      <c r="U20" s="94">
        <f t="shared" si="7"/>
        <v>300000</v>
      </c>
      <c r="V20" s="94">
        <f t="shared" si="8"/>
        <v>300000</v>
      </c>
      <c r="W20" s="94"/>
      <c r="X20" s="94"/>
      <c r="Y20" s="93"/>
      <c r="Z20" s="93">
        <v>732000</v>
      </c>
    </row>
    <row r="21" spans="1:32" s="92" customFormat="1" x14ac:dyDescent="0.25">
      <c r="A21" s="84">
        <f>A20+1</f>
        <v>15</v>
      </c>
      <c r="B21" s="93">
        <v>1407</v>
      </c>
      <c r="C21" s="93" t="s">
        <v>21</v>
      </c>
      <c r="D21" s="94">
        <v>4430000</v>
      </c>
      <c r="E21" s="94">
        <v>3430000</v>
      </c>
      <c r="F21" s="94">
        <f t="shared" si="0"/>
        <v>1000000</v>
      </c>
      <c r="G21" s="94">
        <v>3395000</v>
      </c>
      <c r="H21" s="94">
        <v>1758811</v>
      </c>
      <c r="I21" s="94">
        <v>981626</v>
      </c>
      <c r="J21" s="94">
        <v>119333.42</v>
      </c>
      <c r="K21" s="94">
        <f t="shared" si="10"/>
        <v>1100959.42</v>
      </c>
      <c r="L21" s="94">
        <f t="shared" si="11"/>
        <v>2859770.42</v>
      </c>
      <c r="M21" s="94">
        <f>P21+S21</f>
        <v>535229.58000000007</v>
      </c>
      <c r="N21" s="94">
        <f>1000000-500000+500000</f>
        <v>1000000</v>
      </c>
      <c r="O21" s="94">
        <f t="shared" si="3"/>
        <v>35000</v>
      </c>
      <c r="P21" s="94">
        <f t="shared" si="12"/>
        <v>535229.58000000007</v>
      </c>
      <c r="Q21" s="94"/>
      <c r="R21" s="94"/>
      <c r="S21" s="94">
        <f t="shared" si="13"/>
        <v>0</v>
      </c>
      <c r="T21" s="94">
        <f t="shared" si="14"/>
        <v>0</v>
      </c>
      <c r="U21" s="94">
        <f t="shared" si="7"/>
        <v>1000000</v>
      </c>
      <c r="V21" s="94">
        <f t="shared" si="8"/>
        <v>1000000</v>
      </c>
      <c r="W21" s="94"/>
      <c r="X21" s="94"/>
      <c r="Y21" s="93"/>
      <c r="Z21" s="93">
        <v>732000</v>
      </c>
      <c r="AA21" s="206"/>
      <c r="AB21" s="97"/>
      <c r="AC21" s="97"/>
      <c r="AD21" s="97"/>
      <c r="AE21" s="97"/>
      <c r="AF21" s="97"/>
    </row>
    <row r="22" spans="1:32" s="87" customFormat="1" x14ac:dyDescent="0.25">
      <c r="A22" s="84">
        <f t="shared" si="9"/>
        <v>16</v>
      </c>
      <c r="B22" s="93">
        <v>1408</v>
      </c>
      <c r="C22" s="93" t="s">
        <v>22</v>
      </c>
      <c r="D22" s="94">
        <v>1000000</v>
      </c>
      <c r="E22" s="94">
        <v>1000000</v>
      </c>
      <c r="F22" s="94">
        <f t="shared" si="0"/>
        <v>0</v>
      </c>
      <c r="G22" s="94">
        <v>100000</v>
      </c>
      <c r="H22" s="94">
        <v>0</v>
      </c>
      <c r="I22" s="94">
        <v>99760</v>
      </c>
      <c r="J22" s="94"/>
      <c r="K22" s="94">
        <f t="shared" si="10"/>
        <v>99760</v>
      </c>
      <c r="L22" s="94">
        <f t="shared" si="11"/>
        <v>99760</v>
      </c>
      <c r="M22" s="94">
        <f>P22+S22</f>
        <v>240</v>
      </c>
      <c r="N22" s="94"/>
      <c r="O22" s="94">
        <f t="shared" si="3"/>
        <v>900000</v>
      </c>
      <c r="P22" s="94">
        <f t="shared" si="12"/>
        <v>240</v>
      </c>
      <c r="Q22" s="94"/>
      <c r="R22" s="94"/>
      <c r="S22" s="94">
        <f t="shared" si="13"/>
        <v>0</v>
      </c>
      <c r="T22" s="94">
        <f t="shared" si="14"/>
        <v>0</v>
      </c>
      <c r="U22" s="94">
        <f t="shared" si="7"/>
        <v>0</v>
      </c>
      <c r="V22" s="94">
        <f t="shared" si="8"/>
        <v>0</v>
      </c>
      <c r="W22" s="94"/>
      <c r="X22" s="94"/>
      <c r="Y22" s="93"/>
      <c r="Z22" s="93">
        <v>732000</v>
      </c>
      <c r="AA22" s="95"/>
      <c r="AB22" s="95"/>
      <c r="AC22" s="95"/>
      <c r="AD22" s="95"/>
      <c r="AE22" s="95"/>
      <c r="AF22" s="95"/>
    </row>
    <row r="23" spans="1:32" s="87" customFormat="1" x14ac:dyDescent="0.25">
      <c r="A23" s="84">
        <f t="shared" si="9"/>
        <v>17</v>
      </c>
      <c r="B23" s="93">
        <v>1464</v>
      </c>
      <c r="C23" s="93" t="s">
        <v>23</v>
      </c>
      <c r="D23" s="94">
        <v>200000</v>
      </c>
      <c r="E23" s="94">
        <v>200000</v>
      </c>
      <c r="F23" s="94">
        <f t="shared" si="0"/>
        <v>0</v>
      </c>
      <c r="G23" s="94">
        <v>200000</v>
      </c>
      <c r="H23" s="94">
        <v>17198.810000000001</v>
      </c>
      <c r="I23" s="94"/>
      <c r="J23" s="94">
        <v>1445.98</v>
      </c>
      <c r="K23" s="94">
        <f t="shared" si="10"/>
        <v>1445.98</v>
      </c>
      <c r="L23" s="94">
        <f t="shared" si="11"/>
        <v>18644.79</v>
      </c>
      <c r="M23" s="94">
        <f>P23+S23-180000</f>
        <v>1355.2099999999919</v>
      </c>
      <c r="N23" s="94"/>
      <c r="O23" s="94">
        <f t="shared" si="3"/>
        <v>180000</v>
      </c>
      <c r="P23" s="94">
        <f t="shared" si="12"/>
        <v>181355.21</v>
      </c>
      <c r="Q23" s="94"/>
      <c r="R23" s="94"/>
      <c r="S23" s="94">
        <f t="shared" si="13"/>
        <v>0</v>
      </c>
      <c r="T23" s="94">
        <f t="shared" si="14"/>
        <v>180000</v>
      </c>
      <c r="U23" s="94">
        <f t="shared" si="7"/>
        <v>-180000</v>
      </c>
      <c r="V23" s="94">
        <f t="shared" si="8"/>
        <v>-180000</v>
      </c>
      <c r="W23" s="94"/>
      <c r="X23" s="94"/>
      <c r="Y23" s="93"/>
      <c r="Z23" s="93">
        <v>732000</v>
      </c>
      <c r="AA23" s="95"/>
      <c r="AB23" s="95"/>
      <c r="AC23" s="95"/>
      <c r="AD23" s="95"/>
      <c r="AE23" s="95"/>
      <c r="AF23" s="95"/>
    </row>
    <row r="24" spans="1:32" s="92" customFormat="1" x14ac:dyDescent="0.25">
      <c r="A24" s="84">
        <f t="shared" si="9"/>
        <v>18</v>
      </c>
      <c r="B24" s="93">
        <v>1465</v>
      </c>
      <c r="C24" s="93" t="s">
        <v>24</v>
      </c>
      <c r="D24" s="94">
        <v>100000</v>
      </c>
      <c r="E24" s="94">
        <v>100000</v>
      </c>
      <c r="F24" s="94">
        <f t="shared" si="0"/>
        <v>0</v>
      </c>
      <c r="G24" s="94">
        <v>100000</v>
      </c>
      <c r="H24" s="94">
        <v>0</v>
      </c>
      <c r="I24" s="94">
        <v>59206.400000000001</v>
      </c>
      <c r="J24" s="94"/>
      <c r="K24" s="94">
        <f t="shared" si="10"/>
        <v>59206.400000000001</v>
      </c>
      <c r="L24" s="94">
        <f t="shared" si="11"/>
        <v>59206.400000000001</v>
      </c>
      <c r="M24" s="94">
        <f>P24+S24</f>
        <v>40793.599999999999</v>
      </c>
      <c r="N24" s="94"/>
      <c r="O24" s="94">
        <f t="shared" si="3"/>
        <v>0</v>
      </c>
      <c r="P24" s="94">
        <f t="shared" si="12"/>
        <v>40793.599999999999</v>
      </c>
      <c r="Q24" s="94"/>
      <c r="R24" s="94"/>
      <c r="S24" s="94">
        <f t="shared" si="13"/>
        <v>0</v>
      </c>
      <c r="T24" s="94">
        <f t="shared" si="14"/>
        <v>0</v>
      </c>
      <c r="U24" s="94">
        <f t="shared" si="7"/>
        <v>0</v>
      </c>
      <c r="V24" s="94">
        <f t="shared" si="8"/>
        <v>0</v>
      </c>
      <c r="W24" s="94"/>
      <c r="X24" s="94"/>
      <c r="Y24" s="93"/>
      <c r="Z24" s="93">
        <v>732000</v>
      </c>
      <c r="AA24" s="95"/>
      <c r="AB24" s="95"/>
      <c r="AC24" s="95"/>
      <c r="AD24" s="95"/>
      <c r="AE24" s="95"/>
      <c r="AF24" s="95"/>
    </row>
    <row r="25" spans="1:32" s="92" customFormat="1" x14ac:dyDescent="0.25">
      <c r="A25" s="84">
        <f t="shared" si="9"/>
        <v>19</v>
      </c>
      <c r="B25" s="93">
        <v>1551</v>
      </c>
      <c r="C25" s="93" t="s">
        <v>254</v>
      </c>
      <c r="D25" s="94">
        <v>6000000</v>
      </c>
      <c r="E25" s="94">
        <v>6000000</v>
      </c>
      <c r="F25" s="94">
        <f t="shared" si="0"/>
        <v>0</v>
      </c>
      <c r="G25" s="94">
        <v>489240</v>
      </c>
      <c r="H25" s="94">
        <v>204671</v>
      </c>
      <c r="I25" s="94">
        <v>19855</v>
      </c>
      <c r="J25" s="94"/>
      <c r="K25" s="94">
        <f t="shared" si="10"/>
        <v>19855</v>
      </c>
      <c r="L25" s="94">
        <f t="shared" si="11"/>
        <v>224526</v>
      </c>
      <c r="M25" s="94">
        <f>P25+S25</f>
        <v>264714</v>
      </c>
      <c r="N25" s="94">
        <v>90000</v>
      </c>
      <c r="O25" s="94">
        <f t="shared" si="3"/>
        <v>5420760</v>
      </c>
      <c r="P25" s="94">
        <f t="shared" si="12"/>
        <v>264714</v>
      </c>
      <c r="Q25" s="94"/>
      <c r="R25" s="94"/>
      <c r="S25" s="94">
        <f t="shared" si="13"/>
        <v>0</v>
      </c>
      <c r="T25" s="94">
        <f t="shared" si="14"/>
        <v>0</v>
      </c>
      <c r="U25" s="94">
        <f t="shared" si="7"/>
        <v>90000</v>
      </c>
      <c r="V25" s="94">
        <f t="shared" si="8"/>
        <v>90000</v>
      </c>
      <c r="W25" s="94"/>
      <c r="X25" s="94"/>
      <c r="Y25" s="94"/>
      <c r="Z25" s="93">
        <v>732000</v>
      </c>
      <c r="AA25" s="95"/>
      <c r="AB25" s="95"/>
      <c r="AC25" s="95"/>
      <c r="AD25" s="95"/>
      <c r="AE25" s="95"/>
      <c r="AF25" s="95"/>
    </row>
    <row r="26" spans="1:32" s="87" customFormat="1" x14ac:dyDescent="0.25">
      <c r="A26" s="84">
        <f t="shared" si="9"/>
        <v>20</v>
      </c>
      <c r="B26" s="93">
        <v>1619</v>
      </c>
      <c r="C26" s="93" t="s">
        <v>255</v>
      </c>
      <c r="D26" s="94">
        <v>200000</v>
      </c>
      <c r="E26" s="94">
        <v>200000</v>
      </c>
      <c r="F26" s="94">
        <f t="shared" si="0"/>
        <v>0</v>
      </c>
      <c r="G26" s="94">
        <v>200000</v>
      </c>
      <c r="H26" s="94">
        <v>56838</v>
      </c>
      <c r="I26" s="94">
        <v>43949.9</v>
      </c>
      <c r="J26" s="94"/>
      <c r="K26" s="94">
        <f t="shared" si="10"/>
        <v>43949.9</v>
      </c>
      <c r="L26" s="94">
        <f t="shared" si="11"/>
        <v>100787.9</v>
      </c>
      <c r="M26" s="94">
        <f>P26+S26</f>
        <v>99212.1</v>
      </c>
      <c r="N26" s="94"/>
      <c r="O26" s="94">
        <f t="shared" si="3"/>
        <v>0</v>
      </c>
      <c r="P26" s="94">
        <f t="shared" si="12"/>
        <v>99212.1</v>
      </c>
      <c r="Q26" s="94"/>
      <c r="R26" s="94"/>
      <c r="S26" s="94">
        <f t="shared" si="13"/>
        <v>0</v>
      </c>
      <c r="T26" s="94">
        <f t="shared" si="14"/>
        <v>0</v>
      </c>
      <c r="U26" s="94">
        <f t="shared" si="7"/>
        <v>0</v>
      </c>
      <c r="V26" s="94">
        <f t="shared" si="8"/>
        <v>0</v>
      </c>
      <c r="W26" s="94"/>
      <c r="X26" s="94"/>
      <c r="Y26" s="94"/>
      <c r="Z26" s="93">
        <v>732000</v>
      </c>
      <c r="AA26" s="95"/>
      <c r="AB26" s="95"/>
      <c r="AC26" s="95"/>
      <c r="AD26" s="95"/>
      <c r="AE26" s="95"/>
      <c r="AF26" s="95"/>
    </row>
    <row r="27" spans="1:32" s="92" customFormat="1" x14ac:dyDescent="0.25">
      <c r="A27" s="84">
        <f t="shared" si="9"/>
        <v>21</v>
      </c>
      <c r="B27" s="93">
        <v>1620</v>
      </c>
      <c r="C27" s="93" t="s">
        <v>27</v>
      </c>
      <c r="D27" s="94">
        <v>1000000</v>
      </c>
      <c r="E27" s="94">
        <v>1000000</v>
      </c>
      <c r="F27" s="94">
        <f t="shared" si="0"/>
        <v>0</v>
      </c>
      <c r="G27" s="94">
        <v>200000</v>
      </c>
      <c r="H27" s="94">
        <v>0</v>
      </c>
      <c r="I27" s="94"/>
      <c r="J27" s="94"/>
      <c r="K27" s="94">
        <f t="shared" si="10"/>
        <v>0</v>
      </c>
      <c r="L27" s="94">
        <f t="shared" si="11"/>
        <v>0</v>
      </c>
      <c r="M27" s="94">
        <f>P27+S27-100000</f>
        <v>100000</v>
      </c>
      <c r="N27" s="94"/>
      <c r="O27" s="94">
        <f t="shared" si="3"/>
        <v>900000</v>
      </c>
      <c r="P27" s="94">
        <f t="shared" si="12"/>
        <v>200000</v>
      </c>
      <c r="Q27" s="94"/>
      <c r="R27" s="94"/>
      <c r="S27" s="94">
        <f t="shared" si="13"/>
        <v>0</v>
      </c>
      <c r="T27" s="94">
        <f t="shared" si="14"/>
        <v>100000</v>
      </c>
      <c r="U27" s="94">
        <f t="shared" si="7"/>
        <v>-100000</v>
      </c>
      <c r="V27" s="94">
        <f t="shared" si="8"/>
        <v>-100000</v>
      </c>
      <c r="W27" s="94"/>
      <c r="X27" s="94"/>
      <c r="Y27" s="94"/>
      <c r="Z27" s="93">
        <v>732000</v>
      </c>
      <c r="AA27" s="95"/>
      <c r="AB27" s="95"/>
      <c r="AC27" s="95"/>
      <c r="AD27" s="95"/>
      <c r="AE27" s="95"/>
      <c r="AF27" s="95"/>
    </row>
    <row r="28" spans="1:32" s="87" customFormat="1" x14ac:dyDescent="0.25">
      <c r="A28" s="84">
        <f t="shared" si="9"/>
        <v>22</v>
      </c>
      <c r="B28" s="93">
        <v>1701</v>
      </c>
      <c r="C28" s="93" t="s">
        <v>33</v>
      </c>
      <c r="D28" s="94">
        <v>750000</v>
      </c>
      <c r="E28" s="94">
        <v>750000</v>
      </c>
      <c r="F28" s="94">
        <f t="shared" si="0"/>
        <v>0</v>
      </c>
      <c r="G28" s="94">
        <v>750000</v>
      </c>
      <c r="H28" s="94">
        <v>26644</v>
      </c>
      <c r="I28" s="94">
        <v>211018.86</v>
      </c>
      <c r="J28" s="94"/>
      <c r="K28" s="94">
        <f t="shared" si="10"/>
        <v>211018.86</v>
      </c>
      <c r="L28" s="94">
        <f t="shared" si="11"/>
        <v>237662.86</v>
      </c>
      <c r="M28" s="94">
        <f>P28+S28</f>
        <v>512337.14</v>
      </c>
      <c r="N28" s="94"/>
      <c r="O28" s="94">
        <f t="shared" si="3"/>
        <v>0</v>
      </c>
      <c r="P28" s="94">
        <f t="shared" si="12"/>
        <v>512337.14</v>
      </c>
      <c r="Q28" s="94"/>
      <c r="R28" s="94"/>
      <c r="S28" s="94">
        <f t="shared" si="13"/>
        <v>0</v>
      </c>
      <c r="T28" s="94">
        <f t="shared" si="14"/>
        <v>0</v>
      </c>
      <c r="U28" s="94">
        <f t="shared" si="7"/>
        <v>0</v>
      </c>
      <c r="V28" s="94">
        <f t="shared" si="8"/>
        <v>0</v>
      </c>
      <c r="W28" s="94"/>
      <c r="X28" s="94"/>
      <c r="Y28" s="94"/>
      <c r="Z28" s="93">
        <v>732000</v>
      </c>
      <c r="AA28" s="95"/>
      <c r="AB28" s="95"/>
      <c r="AC28" s="95"/>
      <c r="AD28" s="95"/>
      <c r="AE28" s="95"/>
      <c r="AF28" s="95"/>
    </row>
    <row r="29" spans="1:32" s="87" customFormat="1" x14ac:dyDescent="0.25">
      <c r="A29" s="84">
        <f>A28+1</f>
        <v>23</v>
      </c>
      <c r="B29" s="93">
        <v>1755</v>
      </c>
      <c r="C29" s="93" t="s">
        <v>40</v>
      </c>
      <c r="D29" s="94">
        <v>500000</v>
      </c>
      <c r="E29" s="94">
        <v>500000</v>
      </c>
      <c r="F29" s="94">
        <f t="shared" si="0"/>
        <v>0</v>
      </c>
      <c r="G29" s="94">
        <v>500000</v>
      </c>
      <c r="H29" s="94">
        <v>4577</v>
      </c>
      <c r="I29" s="94">
        <v>52226.89</v>
      </c>
      <c r="J29" s="94"/>
      <c r="K29" s="94">
        <f t="shared" si="10"/>
        <v>52226.89</v>
      </c>
      <c r="L29" s="94">
        <f t="shared" si="11"/>
        <v>56803.89</v>
      </c>
      <c r="M29" s="94">
        <f>P29+S29</f>
        <v>443196.11</v>
      </c>
      <c r="N29" s="94"/>
      <c r="O29" s="94">
        <f t="shared" si="3"/>
        <v>0</v>
      </c>
      <c r="P29" s="94">
        <f t="shared" si="12"/>
        <v>443196.11</v>
      </c>
      <c r="Q29" s="94"/>
      <c r="R29" s="94"/>
      <c r="S29" s="94">
        <f t="shared" si="13"/>
        <v>0</v>
      </c>
      <c r="T29" s="94">
        <f t="shared" si="14"/>
        <v>0</v>
      </c>
      <c r="U29" s="94">
        <f t="shared" si="7"/>
        <v>0</v>
      </c>
      <c r="V29" s="94">
        <f t="shared" si="8"/>
        <v>0</v>
      </c>
      <c r="W29" s="94"/>
      <c r="X29" s="94"/>
      <c r="Y29" s="93"/>
      <c r="Z29" s="93">
        <v>732000</v>
      </c>
      <c r="AA29" s="95"/>
      <c r="AB29" s="95"/>
      <c r="AC29" s="95"/>
      <c r="AD29" s="95"/>
      <c r="AE29" s="95"/>
      <c r="AF29" s="95"/>
    </row>
    <row r="30" spans="1:32" s="87" customFormat="1" x14ac:dyDescent="0.25">
      <c r="A30" s="84">
        <f t="shared" si="9"/>
        <v>24</v>
      </c>
      <c r="B30" s="93">
        <v>1760</v>
      </c>
      <c r="C30" s="93" t="s">
        <v>38</v>
      </c>
      <c r="D30" s="94">
        <v>500000</v>
      </c>
      <c r="E30" s="94">
        <v>500000</v>
      </c>
      <c r="F30" s="94">
        <f t="shared" si="0"/>
        <v>0</v>
      </c>
      <c r="G30" s="94">
        <v>350000</v>
      </c>
      <c r="H30" s="94">
        <v>36616</v>
      </c>
      <c r="I30" s="94">
        <v>3510</v>
      </c>
      <c r="J30" s="94"/>
      <c r="K30" s="94">
        <f t="shared" si="10"/>
        <v>3510</v>
      </c>
      <c r="L30" s="94">
        <f t="shared" si="11"/>
        <v>40126</v>
      </c>
      <c r="M30" s="94">
        <f>P30+S30-200000</f>
        <v>259874</v>
      </c>
      <c r="N30" s="94"/>
      <c r="O30" s="94">
        <f t="shared" si="3"/>
        <v>200000</v>
      </c>
      <c r="P30" s="94">
        <f t="shared" si="12"/>
        <v>309874</v>
      </c>
      <c r="Q30" s="94">
        <v>150000</v>
      </c>
      <c r="R30" s="94"/>
      <c r="S30" s="94">
        <f t="shared" si="13"/>
        <v>150000</v>
      </c>
      <c r="T30" s="94">
        <f t="shared" si="14"/>
        <v>200000</v>
      </c>
      <c r="U30" s="94">
        <f t="shared" si="7"/>
        <v>-200000</v>
      </c>
      <c r="V30" s="94">
        <f t="shared" si="8"/>
        <v>-200000</v>
      </c>
      <c r="W30" s="94"/>
      <c r="X30" s="94"/>
      <c r="Y30" s="93"/>
      <c r="Z30" s="93">
        <v>732000</v>
      </c>
      <c r="AA30" s="95"/>
      <c r="AB30" s="95"/>
      <c r="AC30" s="95"/>
      <c r="AD30" s="95"/>
      <c r="AE30" s="95"/>
      <c r="AF30" s="95"/>
    </row>
    <row r="31" spans="1:32" s="92" customFormat="1" x14ac:dyDescent="0.25">
      <c r="A31" s="84">
        <f t="shared" si="9"/>
        <v>25</v>
      </c>
      <c r="B31" s="93">
        <v>1762</v>
      </c>
      <c r="C31" s="93" t="s">
        <v>41</v>
      </c>
      <c r="D31" s="94">
        <v>500000</v>
      </c>
      <c r="E31" s="94">
        <v>500000</v>
      </c>
      <c r="F31" s="94">
        <f t="shared" si="0"/>
        <v>0</v>
      </c>
      <c r="G31" s="94">
        <v>100000</v>
      </c>
      <c r="H31" s="94">
        <v>0</v>
      </c>
      <c r="I31" s="94"/>
      <c r="J31" s="94"/>
      <c r="K31" s="94">
        <f t="shared" si="10"/>
        <v>0</v>
      </c>
      <c r="L31" s="94">
        <f t="shared" si="11"/>
        <v>0</v>
      </c>
      <c r="M31" s="94">
        <f>P31+S31</f>
        <v>100000</v>
      </c>
      <c r="N31" s="94"/>
      <c r="O31" s="94">
        <f t="shared" si="3"/>
        <v>400000</v>
      </c>
      <c r="P31" s="94">
        <f t="shared" si="12"/>
        <v>100000</v>
      </c>
      <c r="Q31" s="94"/>
      <c r="R31" s="94"/>
      <c r="S31" s="94">
        <f t="shared" si="13"/>
        <v>0</v>
      </c>
      <c r="T31" s="94">
        <f t="shared" si="14"/>
        <v>0</v>
      </c>
      <c r="U31" s="94">
        <f t="shared" si="7"/>
        <v>0</v>
      </c>
      <c r="V31" s="94">
        <f t="shared" si="8"/>
        <v>0</v>
      </c>
      <c r="W31" s="94"/>
      <c r="X31" s="94"/>
      <c r="Y31" s="93"/>
      <c r="Z31" s="93">
        <v>732000</v>
      </c>
      <c r="AA31" s="95"/>
      <c r="AB31" s="95"/>
      <c r="AC31" s="95"/>
      <c r="AD31" s="95"/>
      <c r="AE31" s="95"/>
      <c r="AF31" s="95"/>
    </row>
    <row r="32" spans="1:32" s="95" customFormat="1" x14ac:dyDescent="0.25">
      <c r="A32" s="84">
        <f t="shared" si="9"/>
        <v>26</v>
      </c>
      <c r="B32" s="93">
        <v>1799</v>
      </c>
      <c r="C32" s="93" t="s">
        <v>281</v>
      </c>
      <c r="D32" s="94">
        <v>1000000</v>
      </c>
      <c r="E32" s="94">
        <v>1000000</v>
      </c>
      <c r="F32" s="94">
        <f t="shared" si="0"/>
        <v>0</v>
      </c>
      <c r="G32" s="94">
        <v>400000</v>
      </c>
      <c r="H32" s="94">
        <v>0</v>
      </c>
      <c r="I32" s="94">
        <v>44673.599999999999</v>
      </c>
      <c r="J32" s="94"/>
      <c r="K32" s="94">
        <f t="shared" si="10"/>
        <v>44673.599999999999</v>
      </c>
      <c r="L32" s="94">
        <f t="shared" si="11"/>
        <v>44673.599999999999</v>
      </c>
      <c r="M32" s="94">
        <f>P32+S32-100000</f>
        <v>455326.4</v>
      </c>
      <c r="N32" s="94"/>
      <c r="O32" s="94">
        <f t="shared" si="3"/>
        <v>500000</v>
      </c>
      <c r="P32" s="94">
        <f t="shared" si="12"/>
        <v>355326.4</v>
      </c>
      <c r="Q32" s="94">
        <v>200000</v>
      </c>
      <c r="R32" s="94"/>
      <c r="S32" s="94">
        <f t="shared" si="13"/>
        <v>200000</v>
      </c>
      <c r="T32" s="94">
        <f t="shared" si="14"/>
        <v>100000</v>
      </c>
      <c r="U32" s="94">
        <f t="shared" si="7"/>
        <v>-100000</v>
      </c>
      <c r="V32" s="94">
        <f t="shared" si="8"/>
        <v>-100000</v>
      </c>
      <c r="W32" s="94"/>
      <c r="X32" s="94"/>
      <c r="Y32" s="93"/>
      <c r="Z32" s="93">
        <v>732000</v>
      </c>
    </row>
    <row r="33" spans="1:32" s="97" customFormat="1" x14ac:dyDescent="0.25">
      <c r="A33" s="84">
        <f t="shared" si="9"/>
        <v>27</v>
      </c>
      <c r="B33" s="93">
        <v>1838</v>
      </c>
      <c r="C33" s="93" t="s">
        <v>310</v>
      </c>
      <c r="D33" s="94">
        <v>400000</v>
      </c>
      <c r="E33" s="94">
        <v>400000</v>
      </c>
      <c r="F33" s="94">
        <f t="shared" si="0"/>
        <v>0</v>
      </c>
      <c r="G33" s="94">
        <v>400000</v>
      </c>
      <c r="H33" s="94">
        <v>0</v>
      </c>
      <c r="I33" s="94"/>
      <c r="J33" s="94"/>
      <c r="K33" s="94">
        <f t="shared" si="10"/>
        <v>0</v>
      </c>
      <c r="L33" s="94">
        <f t="shared" si="11"/>
        <v>0</v>
      </c>
      <c r="M33" s="94">
        <f>P33+S33</f>
        <v>400000</v>
      </c>
      <c r="N33" s="94"/>
      <c r="O33" s="94">
        <f t="shared" si="3"/>
        <v>0</v>
      </c>
      <c r="P33" s="94">
        <f t="shared" si="12"/>
        <v>400000</v>
      </c>
      <c r="Q33" s="94"/>
      <c r="R33" s="94"/>
      <c r="S33" s="94">
        <f t="shared" si="13"/>
        <v>0</v>
      </c>
      <c r="T33" s="94">
        <f t="shared" si="14"/>
        <v>0</v>
      </c>
      <c r="U33" s="94">
        <f t="shared" si="7"/>
        <v>0</v>
      </c>
      <c r="V33" s="94">
        <f t="shared" si="8"/>
        <v>0</v>
      </c>
      <c r="W33" s="94"/>
      <c r="X33" s="94"/>
      <c r="Y33" s="93"/>
      <c r="Z33" s="93">
        <v>732000</v>
      </c>
      <c r="AA33" s="95"/>
    </row>
    <row r="34" spans="1:32" s="95" customFormat="1" x14ac:dyDescent="0.25">
      <c r="A34" s="84">
        <f t="shared" si="9"/>
        <v>28</v>
      </c>
      <c r="B34" s="93">
        <v>1839</v>
      </c>
      <c r="C34" s="93" t="s">
        <v>311</v>
      </c>
      <c r="D34" s="94">
        <v>150000</v>
      </c>
      <c r="E34" s="94">
        <v>150000</v>
      </c>
      <c r="F34" s="94">
        <f t="shared" si="0"/>
        <v>0</v>
      </c>
      <c r="G34" s="94">
        <v>0</v>
      </c>
      <c r="H34" s="94">
        <v>0</v>
      </c>
      <c r="I34" s="94"/>
      <c r="J34" s="94"/>
      <c r="K34" s="94">
        <f t="shared" si="10"/>
        <v>0</v>
      </c>
      <c r="L34" s="94">
        <f t="shared" si="11"/>
        <v>0</v>
      </c>
      <c r="M34" s="94">
        <f>P34+S34</f>
        <v>150000</v>
      </c>
      <c r="N34" s="94"/>
      <c r="O34" s="94">
        <f t="shared" si="3"/>
        <v>0</v>
      </c>
      <c r="P34" s="94">
        <f t="shared" si="12"/>
        <v>0</v>
      </c>
      <c r="Q34" s="94">
        <v>150000</v>
      </c>
      <c r="R34" s="94"/>
      <c r="S34" s="94">
        <f t="shared" si="13"/>
        <v>150000</v>
      </c>
      <c r="T34" s="94">
        <f t="shared" si="14"/>
        <v>0</v>
      </c>
      <c r="U34" s="94">
        <f t="shared" si="7"/>
        <v>0</v>
      </c>
      <c r="V34" s="94">
        <f t="shared" si="8"/>
        <v>0</v>
      </c>
      <c r="W34" s="94"/>
      <c r="X34" s="94"/>
      <c r="Y34" s="93"/>
      <c r="Z34" s="93">
        <v>732000</v>
      </c>
    </row>
    <row r="35" spans="1:32" s="95" customFormat="1" x14ac:dyDescent="0.25">
      <c r="A35" s="84">
        <f t="shared" si="9"/>
        <v>29</v>
      </c>
      <c r="B35" s="93">
        <v>1841</v>
      </c>
      <c r="C35" s="93" t="s">
        <v>312</v>
      </c>
      <c r="D35" s="94">
        <v>600000</v>
      </c>
      <c r="E35" s="94">
        <v>600000</v>
      </c>
      <c r="F35" s="94"/>
      <c r="G35" s="94">
        <v>100000</v>
      </c>
      <c r="H35" s="94">
        <v>0</v>
      </c>
      <c r="I35" s="94"/>
      <c r="J35" s="94"/>
      <c r="K35" s="94">
        <f t="shared" si="10"/>
        <v>0</v>
      </c>
      <c r="L35" s="94">
        <f t="shared" si="11"/>
        <v>0</v>
      </c>
      <c r="M35" s="94">
        <f>P35+S35</f>
        <v>600000</v>
      </c>
      <c r="N35" s="94"/>
      <c r="O35" s="94">
        <f t="shared" si="3"/>
        <v>0</v>
      </c>
      <c r="P35" s="94">
        <f t="shared" si="12"/>
        <v>100000</v>
      </c>
      <c r="Q35" s="94">
        <v>500000</v>
      </c>
      <c r="R35" s="94"/>
      <c r="S35" s="94">
        <f t="shared" si="13"/>
        <v>500000</v>
      </c>
      <c r="T35" s="94">
        <f t="shared" si="14"/>
        <v>0</v>
      </c>
      <c r="U35" s="94">
        <f t="shared" si="7"/>
        <v>0</v>
      </c>
      <c r="V35" s="94">
        <f t="shared" si="8"/>
        <v>0</v>
      </c>
      <c r="W35" s="94"/>
      <c r="X35" s="94"/>
      <c r="Y35" s="93"/>
      <c r="Z35" s="93">
        <v>732000</v>
      </c>
      <c r="AB35" s="97"/>
      <c r="AC35" s="97"/>
      <c r="AD35" s="97"/>
      <c r="AE35" s="97"/>
      <c r="AF35" s="97"/>
    </row>
    <row r="36" spans="1:32" s="95" customFormat="1" x14ac:dyDescent="0.25">
      <c r="A36" s="84">
        <f>A35+1</f>
        <v>30</v>
      </c>
      <c r="B36" s="93">
        <v>1842</v>
      </c>
      <c r="C36" s="93" t="s">
        <v>313</v>
      </c>
      <c r="D36" s="94">
        <v>800000</v>
      </c>
      <c r="E36" s="94">
        <v>800000</v>
      </c>
      <c r="F36" s="94"/>
      <c r="G36" s="94">
        <v>400000</v>
      </c>
      <c r="H36" s="94">
        <v>0</v>
      </c>
      <c r="I36" s="94"/>
      <c r="J36" s="94"/>
      <c r="K36" s="94">
        <f t="shared" si="10"/>
        <v>0</v>
      </c>
      <c r="L36" s="94">
        <f t="shared" si="11"/>
        <v>0</v>
      </c>
      <c r="M36" s="94">
        <f>P36+S36-100000</f>
        <v>300000</v>
      </c>
      <c r="N36" s="94"/>
      <c r="O36" s="94">
        <f t="shared" si="3"/>
        <v>500000</v>
      </c>
      <c r="P36" s="94">
        <f t="shared" si="12"/>
        <v>400000</v>
      </c>
      <c r="Q36" s="94"/>
      <c r="R36" s="94"/>
      <c r="S36" s="94">
        <f t="shared" si="13"/>
        <v>0</v>
      </c>
      <c r="T36" s="94">
        <f t="shared" si="14"/>
        <v>100000</v>
      </c>
      <c r="U36" s="94">
        <f t="shared" si="7"/>
        <v>-100000</v>
      </c>
      <c r="V36" s="94">
        <f t="shared" si="8"/>
        <v>-100000</v>
      </c>
      <c r="W36" s="94"/>
      <c r="X36" s="94"/>
      <c r="Y36" s="93"/>
      <c r="Z36" s="93">
        <v>732000</v>
      </c>
    </row>
    <row r="37" spans="1:32" s="87" customFormat="1" x14ac:dyDescent="0.25">
      <c r="A37" s="84">
        <f t="shared" si="9"/>
        <v>31</v>
      </c>
      <c r="B37" s="93">
        <v>1937</v>
      </c>
      <c r="C37" s="93" t="s">
        <v>435</v>
      </c>
      <c r="D37" s="94">
        <v>450000</v>
      </c>
      <c r="E37" s="94">
        <v>450000</v>
      </c>
      <c r="F37" s="94">
        <f t="shared" ref="F37:F54" si="15">D37-E37</f>
        <v>0</v>
      </c>
      <c r="G37" s="94"/>
      <c r="H37" s="94"/>
      <c r="I37" s="94"/>
      <c r="J37" s="94"/>
      <c r="K37" s="94"/>
      <c r="L37" s="94"/>
      <c r="M37" s="94">
        <f t="shared" ref="M37:M43" si="16">P37+S37</f>
        <v>450000</v>
      </c>
      <c r="N37" s="94"/>
      <c r="O37" s="94">
        <f t="shared" si="3"/>
        <v>0</v>
      </c>
      <c r="P37" s="94"/>
      <c r="Q37" s="94"/>
      <c r="R37" s="94">
        <v>450000</v>
      </c>
      <c r="S37" s="94">
        <f t="shared" si="13"/>
        <v>450000</v>
      </c>
      <c r="T37" s="94"/>
      <c r="U37" s="94">
        <f t="shared" si="7"/>
        <v>0</v>
      </c>
      <c r="V37" s="94">
        <f t="shared" si="8"/>
        <v>0</v>
      </c>
      <c r="W37" s="94"/>
      <c r="X37" s="94"/>
      <c r="Y37" s="93"/>
      <c r="Z37" s="93">
        <v>732000</v>
      </c>
      <c r="AA37" s="95"/>
      <c r="AB37" s="95"/>
      <c r="AC37" s="95"/>
      <c r="AD37" s="251"/>
      <c r="AE37" s="95"/>
      <c r="AF37" s="95"/>
    </row>
    <row r="38" spans="1:32" s="87" customFormat="1" x14ac:dyDescent="0.25">
      <c r="A38" s="84">
        <f t="shared" si="9"/>
        <v>32</v>
      </c>
      <c r="B38" s="93">
        <v>1950</v>
      </c>
      <c r="C38" s="93" t="s">
        <v>701</v>
      </c>
      <c r="D38" s="94">
        <v>500000</v>
      </c>
      <c r="E38" s="94"/>
      <c r="F38" s="94">
        <f t="shared" si="15"/>
        <v>500000</v>
      </c>
      <c r="G38" s="94"/>
      <c r="H38" s="94"/>
      <c r="I38" s="94"/>
      <c r="J38" s="94"/>
      <c r="K38" s="94"/>
      <c r="L38" s="94"/>
      <c r="M38" s="94">
        <f t="shared" si="16"/>
        <v>0</v>
      </c>
      <c r="N38" s="94">
        <f>500000-300000+300000</f>
        <v>500000</v>
      </c>
      <c r="O38" s="94">
        <f t="shared" si="3"/>
        <v>0</v>
      </c>
      <c r="P38" s="94"/>
      <c r="Q38" s="94"/>
      <c r="R38" s="94"/>
      <c r="S38" s="94">
        <f t="shared" si="13"/>
        <v>0</v>
      </c>
      <c r="T38" s="94"/>
      <c r="U38" s="94">
        <f t="shared" si="7"/>
        <v>500000</v>
      </c>
      <c r="V38" s="94">
        <f t="shared" si="8"/>
        <v>500000</v>
      </c>
      <c r="W38" s="94"/>
      <c r="X38" s="94"/>
      <c r="Y38" s="93"/>
      <c r="Z38" s="93">
        <v>732000</v>
      </c>
      <c r="AA38" s="95"/>
      <c r="AB38" s="95"/>
      <c r="AC38" s="95"/>
      <c r="AD38" s="251"/>
      <c r="AF38" s="95"/>
    </row>
    <row r="39" spans="1:32" s="87" customFormat="1" x14ac:dyDescent="0.25">
      <c r="A39" s="84">
        <f t="shared" si="9"/>
        <v>33</v>
      </c>
      <c r="B39" s="93">
        <v>1951</v>
      </c>
      <c r="C39" s="93" t="s">
        <v>436</v>
      </c>
      <c r="D39" s="94">
        <v>300000</v>
      </c>
      <c r="E39" s="94"/>
      <c r="F39" s="94">
        <f t="shared" si="15"/>
        <v>300000</v>
      </c>
      <c r="G39" s="94"/>
      <c r="H39" s="94"/>
      <c r="I39" s="94"/>
      <c r="J39" s="94"/>
      <c r="K39" s="94"/>
      <c r="L39" s="94"/>
      <c r="M39" s="94">
        <f t="shared" si="16"/>
        <v>0</v>
      </c>
      <c r="N39" s="94">
        <f>300000-100000+100000</f>
        <v>300000</v>
      </c>
      <c r="O39" s="94">
        <f t="shared" ref="O39:O56" si="17">D39-L39-M39-N39</f>
        <v>0</v>
      </c>
      <c r="P39" s="94"/>
      <c r="Q39" s="94"/>
      <c r="R39" s="94"/>
      <c r="S39" s="94">
        <f t="shared" si="13"/>
        <v>0</v>
      </c>
      <c r="T39" s="94"/>
      <c r="U39" s="94">
        <f t="shared" ref="U39:U56" si="18">N39-T39</f>
        <v>300000</v>
      </c>
      <c r="V39" s="94">
        <f t="shared" ref="V39:V56" si="19">U39-Y39-W39-X39</f>
        <v>300000</v>
      </c>
      <c r="W39" s="94"/>
      <c r="X39" s="94"/>
      <c r="Y39" s="93"/>
      <c r="Z39" s="93">
        <v>732000</v>
      </c>
      <c r="AA39" s="95"/>
      <c r="AB39" s="95"/>
      <c r="AC39" s="95"/>
      <c r="AD39" s="251"/>
      <c r="AE39" s="97"/>
      <c r="AF39" s="95"/>
    </row>
    <row r="40" spans="1:32" s="92" customFormat="1" x14ac:dyDescent="0.25">
      <c r="A40" s="84">
        <f t="shared" si="9"/>
        <v>34</v>
      </c>
      <c r="B40" s="93">
        <v>1952</v>
      </c>
      <c r="C40" s="93" t="s">
        <v>541</v>
      </c>
      <c r="D40" s="94">
        <v>120000</v>
      </c>
      <c r="E40" s="94"/>
      <c r="F40" s="94">
        <f t="shared" si="15"/>
        <v>120000</v>
      </c>
      <c r="G40" s="94"/>
      <c r="H40" s="94"/>
      <c r="I40" s="94"/>
      <c r="J40" s="94"/>
      <c r="K40" s="94"/>
      <c r="L40" s="94"/>
      <c r="M40" s="94">
        <f t="shared" si="16"/>
        <v>0</v>
      </c>
      <c r="N40" s="94">
        <v>120000</v>
      </c>
      <c r="O40" s="94">
        <f t="shared" si="17"/>
        <v>0</v>
      </c>
      <c r="P40" s="94"/>
      <c r="Q40" s="94"/>
      <c r="R40" s="94"/>
      <c r="S40" s="94">
        <f t="shared" si="13"/>
        <v>0</v>
      </c>
      <c r="T40" s="94"/>
      <c r="U40" s="94">
        <f t="shared" si="18"/>
        <v>120000</v>
      </c>
      <c r="V40" s="94">
        <f t="shared" si="19"/>
        <v>120000</v>
      </c>
      <c r="W40" s="94"/>
      <c r="X40" s="94"/>
      <c r="Y40" s="93"/>
      <c r="Z40" s="93">
        <v>732000</v>
      </c>
      <c r="AA40" s="95"/>
      <c r="AB40" s="95"/>
      <c r="AC40" s="95"/>
      <c r="AD40" s="97"/>
      <c r="AE40" s="97"/>
      <c r="AF40" s="95"/>
    </row>
    <row r="41" spans="1:32" s="87" customFormat="1" x14ac:dyDescent="0.25">
      <c r="A41" s="84">
        <f t="shared" si="9"/>
        <v>35</v>
      </c>
      <c r="B41" s="93">
        <v>1409</v>
      </c>
      <c r="C41" s="93" t="s">
        <v>438</v>
      </c>
      <c r="D41" s="94">
        <v>3500000</v>
      </c>
      <c r="E41" s="94">
        <v>3300000</v>
      </c>
      <c r="F41" s="94">
        <f t="shared" si="15"/>
        <v>200000</v>
      </c>
      <c r="G41" s="94">
        <v>3000000</v>
      </c>
      <c r="H41" s="94">
        <v>2041090.76</v>
      </c>
      <c r="I41" s="94">
        <v>4560</v>
      </c>
      <c r="J41" s="94">
        <v>351032.12</v>
      </c>
      <c r="K41" s="94">
        <f t="shared" ref="K41:K56" si="20">SUM(I41:J41)</f>
        <v>355592.12</v>
      </c>
      <c r="L41" s="94">
        <f t="shared" ref="L41:L56" si="21">H41+K41</f>
        <v>2396682.88</v>
      </c>
      <c r="M41" s="94">
        <f t="shared" si="16"/>
        <v>903317.12000000011</v>
      </c>
      <c r="N41" s="94"/>
      <c r="O41" s="94">
        <f t="shared" si="17"/>
        <v>200000</v>
      </c>
      <c r="P41" s="94">
        <f t="shared" ref="P41:P56" si="22">G41-L41</f>
        <v>603317.12000000011</v>
      </c>
      <c r="Q41" s="94">
        <v>300000</v>
      </c>
      <c r="R41" s="94"/>
      <c r="S41" s="94">
        <f t="shared" si="13"/>
        <v>300000</v>
      </c>
      <c r="T41" s="94">
        <f t="shared" ref="T41:T56" si="23">P41-M41+S41</f>
        <v>0</v>
      </c>
      <c r="U41" s="94">
        <f t="shared" si="18"/>
        <v>0</v>
      </c>
      <c r="V41" s="94">
        <f t="shared" si="19"/>
        <v>0</v>
      </c>
      <c r="W41" s="94"/>
      <c r="X41" s="94"/>
      <c r="Y41" s="93"/>
      <c r="Z41" s="93">
        <v>732000</v>
      </c>
      <c r="AA41" s="95"/>
      <c r="AB41" s="97"/>
      <c r="AC41" s="97"/>
      <c r="AD41" s="97"/>
      <c r="AE41" s="97"/>
      <c r="AF41" s="97"/>
    </row>
    <row r="42" spans="1:32" s="92" customFormat="1" x14ac:dyDescent="0.25">
      <c r="A42" s="84">
        <f t="shared" si="9"/>
        <v>36</v>
      </c>
      <c r="B42" s="93">
        <v>1466</v>
      </c>
      <c r="C42" s="93" t="s">
        <v>25</v>
      </c>
      <c r="D42" s="94">
        <v>1800000</v>
      </c>
      <c r="E42" s="94">
        <v>1300000</v>
      </c>
      <c r="F42" s="94">
        <f t="shared" si="15"/>
        <v>500000</v>
      </c>
      <c r="G42" s="94">
        <f>1162056+137944</f>
        <v>1300000</v>
      </c>
      <c r="H42" s="94">
        <v>890236.86</v>
      </c>
      <c r="I42" s="94">
        <v>91727.45</v>
      </c>
      <c r="J42" s="94"/>
      <c r="K42" s="94">
        <f t="shared" si="20"/>
        <v>91727.45</v>
      </c>
      <c r="L42" s="94">
        <f t="shared" si="21"/>
        <v>981964.30999999994</v>
      </c>
      <c r="M42" s="94">
        <f t="shared" si="16"/>
        <v>318035.69000000006</v>
      </c>
      <c r="N42" s="94">
        <v>400000</v>
      </c>
      <c r="O42" s="94">
        <f t="shared" si="17"/>
        <v>100000</v>
      </c>
      <c r="P42" s="94">
        <f t="shared" si="22"/>
        <v>318035.69000000006</v>
      </c>
      <c r="Q42" s="94"/>
      <c r="R42" s="94"/>
      <c r="S42" s="94">
        <f t="shared" si="13"/>
        <v>0</v>
      </c>
      <c r="T42" s="94">
        <f t="shared" si="23"/>
        <v>0</v>
      </c>
      <c r="U42" s="94">
        <f t="shared" si="18"/>
        <v>400000</v>
      </c>
      <c r="V42" s="94">
        <f t="shared" si="19"/>
        <v>400000</v>
      </c>
      <c r="W42" s="94"/>
      <c r="X42" s="94"/>
      <c r="Y42" s="93"/>
      <c r="Z42" s="93">
        <v>732000</v>
      </c>
      <c r="AA42" s="95"/>
      <c r="AB42" s="97"/>
      <c r="AC42" s="97"/>
      <c r="AD42" s="97"/>
      <c r="AE42" s="97"/>
      <c r="AF42" s="97"/>
    </row>
    <row r="43" spans="1:32" s="92" customFormat="1" x14ac:dyDescent="0.25">
      <c r="A43" s="84">
        <f t="shared" si="9"/>
        <v>37</v>
      </c>
      <c r="B43" s="93">
        <v>1467</v>
      </c>
      <c r="C43" s="93" t="s">
        <v>26</v>
      </c>
      <c r="D43" s="94">
        <v>450000</v>
      </c>
      <c r="E43" s="94">
        <v>450000</v>
      </c>
      <c r="F43" s="94">
        <f t="shared" si="15"/>
        <v>0</v>
      </c>
      <c r="G43" s="94">
        <v>350000</v>
      </c>
      <c r="H43" s="94">
        <v>163685.64000000001</v>
      </c>
      <c r="I43" s="94"/>
      <c r="J43" s="94"/>
      <c r="K43" s="94">
        <f t="shared" si="20"/>
        <v>0</v>
      </c>
      <c r="L43" s="94">
        <f t="shared" si="21"/>
        <v>163685.64000000001</v>
      </c>
      <c r="M43" s="94">
        <f t="shared" si="16"/>
        <v>186314.36</v>
      </c>
      <c r="N43" s="94"/>
      <c r="O43" s="94">
        <f t="shared" si="17"/>
        <v>100000</v>
      </c>
      <c r="P43" s="94">
        <f t="shared" si="22"/>
        <v>186314.36</v>
      </c>
      <c r="Q43" s="94"/>
      <c r="R43" s="94"/>
      <c r="S43" s="94">
        <f t="shared" si="13"/>
        <v>0</v>
      </c>
      <c r="T43" s="94">
        <f t="shared" si="23"/>
        <v>0</v>
      </c>
      <c r="U43" s="94">
        <f t="shared" si="18"/>
        <v>0</v>
      </c>
      <c r="V43" s="94">
        <f t="shared" si="19"/>
        <v>0</v>
      </c>
      <c r="W43" s="94"/>
      <c r="X43" s="94"/>
      <c r="Y43" s="93"/>
      <c r="Z43" s="93">
        <v>732000</v>
      </c>
      <c r="AA43" s="95"/>
      <c r="AB43" s="95"/>
      <c r="AC43" s="95"/>
      <c r="AD43" s="95"/>
      <c r="AE43" s="95"/>
      <c r="AF43" s="95"/>
    </row>
    <row r="44" spans="1:32" s="97" customFormat="1" x14ac:dyDescent="0.25">
      <c r="A44" s="84">
        <f>A43+1</f>
        <v>38</v>
      </c>
      <c r="B44" s="93">
        <v>1527</v>
      </c>
      <c r="C44" s="93" t="s">
        <v>540</v>
      </c>
      <c r="D44" s="94">
        <v>3000000</v>
      </c>
      <c r="E44" s="94">
        <v>3000000</v>
      </c>
      <c r="F44" s="94">
        <f t="shared" si="15"/>
        <v>0</v>
      </c>
      <c r="G44" s="94">
        <v>3000000</v>
      </c>
      <c r="H44" s="94">
        <v>815200.42</v>
      </c>
      <c r="I44" s="94">
        <v>60940.1</v>
      </c>
      <c r="J44" s="94">
        <v>750480.05</v>
      </c>
      <c r="K44" s="94">
        <f t="shared" si="20"/>
        <v>811420.15</v>
      </c>
      <c r="L44" s="94">
        <f t="shared" si="21"/>
        <v>1626620.57</v>
      </c>
      <c r="M44" s="94">
        <f>P44+S44-1000000</f>
        <v>373379.42999999993</v>
      </c>
      <c r="N44" s="94"/>
      <c r="O44" s="94">
        <f t="shared" si="17"/>
        <v>1000000</v>
      </c>
      <c r="P44" s="94">
        <f t="shared" si="22"/>
        <v>1373379.43</v>
      </c>
      <c r="Q44" s="94"/>
      <c r="R44" s="94"/>
      <c r="S44" s="94">
        <f t="shared" si="13"/>
        <v>0</v>
      </c>
      <c r="T44" s="94">
        <f t="shared" si="23"/>
        <v>1000000</v>
      </c>
      <c r="U44" s="94">
        <f t="shared" si="18"/>
        <v>-1000000</v>
      </c>
      <c r="V44" s="94">
        <f t="shared" si="19"/>
        <v>-1000000</v>
      </c>
      <c r="W44" s="94"/>
      <c r="X44" s="94"/>
      <c r="Y44" s="93"/>
      <c r="Z44" s="93">
        <v>732000</v>
      </c>
      <c r="AA44" s="95"/>
      <c r="AB44" s="95"/>
      <c r="AC44" s="95"/>
      <c r="AD44" s="95"/>
      <c r="AE44" s="95"/>
      <c r="AF44" s="95"/>
    </row>
    <row r="45" spans="1:32" s="87" customFormat="1" x14ac:dyDescent="0.25">
      <c r="A45" s="84">
        <f t="shared" si="9"/>
        <v>39</v>
      </c>
      <c r="B45" s="93">
        <v>1660</v>
      </c>
      <c r="C45" s="93" t="s">
        <v>28</v>
      </c>
      <c r="D45" s="94">
        <v>2000000</v>
      </c>
      <c r="E45" s="94">
        <v>2000000</v>
      </c>
      <c r="F45" s="94">
        <f t="shared" si="15"/>
        <v>0</v>
      </c>
      <c r="G45" s="94">
        <v>150000</v>
      </c>
      <c r="H45" s="94">
        <v>85408</v>
      </c>
      <c r="I45" s="94"/>
      <c r="J45" s="94"/>
      <c r="K45" s="94">
        <f t="shared" si="20"/>
        <v>0</v>
      </c>
      <c r="L45" s="94">
        <f t="shared" si="21"/>
        <v>85408</v>
      </c>
      <c r="M45" s="94">
        <f>P45+S45</f>
        <v>64592</v>
      </c>
      <c r="N45" s="94"/>
      <c r="O45" s="94">
        <f t="shared" si="17"/>
        <v>1850000</v>
      </c>
      <c r="P45" s="94">
        <f t="shared" si="22"/>
        <v>64592</v>
      </c>
      <c r="Q45" s="94"/>
      <c r="R45" s="94"/>
      <c r="S45" s="94">
        <f t="shared" si="13"/>
        <v>0</v>
      </c>
      <c r="T45" s="94">
        <f t="shared" si="23"/>
        <v>0</v>
      </c>
      <c r="U45" s="94">
        <f t="shared" si="18"/>
        <v>0</v>
      </c>
      <c r="V45" s="94">
        <f t="shared" si="19"/>
        <v>0</v>
      </c>
      <c r="W45" s="94"/>
      <c r="X45" s="94"/>
      <c r="Y45" s="94"/>
      <c r="Z45" s="93">
        <v>732000</v>
      </c>
      <c r="AA45" s="95"/>
      <c r="AB45" s="95"/>
      <c r="AC45" s="95"/>
      <c r="AD45" s="95"/>
      <c r="AE45" s="95"/>
      <c r="AF45" s="95"/>
    </row>
    <row r="46" spans="1:32" s="87" customFormat="1" ht="15.6" x14ac:dyDescent="0.25">
      <c r="A46" s="84">
        <f t="shared" si="9"/>
        <v>40</v>
      </c>
      <c r="B46" s="93">
        <v>1674</v>
      </c>
      <c r="C46" s="93" t="s">
        <v>31</v>
      </c>
      <c r="D46" s="94">
        <v>2000000</v>
      </c>
      <c r="E46" s="94">
        <v>1800000</v>
      </c>
      <c r="F46" s="94">
        <f t="shared" si="15"/>
        <v>200000</v>
      </c>
      <c r="G46" s="94">
        <f>1500000+300000</f>
        <v>1800000</v>
      </c>
      <c r="H46" s="94">
        <v>559631.66</v>
      </c>
      <c r="I46" s="94">
        <v>351524.7</v>
      </c>
      <c r="J46" s="94">
        <v>428400.68</v>
      </c>
      <c r="K46" s="94">
        <f t="shared" si="20"/>
        <v>779925.38</v>
      </c>
      <c r="L46" s="94">
        <f t="shared" si="21"/>
        <v>1339557.04</v>
      </c>
      <c r="M46" s="94">
        <f>P46+S46</f>
        <v>460442.95999999996</v>
      </c>
      <c r="N46" s="94">
        <v>200000</v>
      </c>
      <c r="O46" s="94">
        <f t="shared" si="17"/>
        <v>0</v>
      </c>
      <c r="P46" s="94">
        <f t="shared" si="22"/>
        <v>460442.95999999996</v>
      </c>
      <c r="Q46" s="94"/>
      <c r="R46" s="94"/>
      <c r="S46" s="94">
        <f t="shared" si="13"/>
        <v>0</v>
      </c>
      <c r="T46" s="94">
        <f t="shared" si="23"/>
        <v>0</v>
      </c>
      <c r="U46" s="94">
        <f t="shared" si="18"/>
        <v>200000</v>
      </c>
      <c r="V46" s="94">
        <f t="shared" si="19"/>
        <v>200000</v>
      </c>
      <c r="W46" s="94"/>
      <c r="X46" s="94"/>
      <c r="Y46" s="94"/>
      <c r="Z46" s="93">
        <v>732000</v>
      </c>
      <c r="AA46" s="95"/>
      <c r="AB46" s="99"/>
      <c r="AC46" s="99"/>
      <c r="AD46" s="99"/>
      <c r="AE46" s="99"/>
      <c r="AF46" s="99"/>
    </row>
    <row r="47" spans="1:32" s="87" customFormat="1" x14ac:dyDescent="0.25">
      <c r="A47" s="84">
        <f t="shared" si="9"/>
        <v>41</v>
      </c>
      <c r="B47" s="84">
        <v>1692</v>
      </c>
      <c r="C47" s="84" t="s">
        <v>32</v>
      </c>
      <c r="D47" s="94">
        <v>2000000</v>
      </c>
      <c r="E47" s="88">
        <v>2000000</v>
      </c>
      <c r="F47" s="88">
        <f t="shared" si="15"/>
        <v>0</v>
      </c>
      <c r="G47" s="88">
        <v>1439186</v>
      </c>
      <c r="H47" s="88">
        <v>224094.42</v>
      </c>
      <c r="I47" s="88">
        <v>144231.63</v>
      </c>
      <c r="J47" s="88">
        <v>15863.38</v>
      </c>
      <c r="K47" s="88">
        <f t="shared" si="20"/>
        <v>160095.01</v>
      </c>
      <c r="L47" s="88">
        <f t="shared" si="21"/>
        <v>384189.43000000005</v>
      </c>
      <c r="M47" s="94">
        <f>P47+S47</f>
        <v>1054996.5699999998</v>
      </c>
      <c r="N47" s="94"/>
      <c r="O47" s="94">
        <f t="shared" si="17"/>
        <v>560814</v>
      </c>
      <c r="P47" s="94">
        <f t="shared" si="22"/>
        <v>1054996.5699999998</v>
      </c>
      <c r="Q47" s="94"/>
      <c r="R47" s="94"/>
      <c r="S47" s="94">
        <f t="shared" si="13"/>
        <v>0</v>
      </c>
      <c r="T47" s="94">
        <f t="shared" si="23"/>
        <v>0</v>
      </c>
      <c r="U47" s="94">
        <f t="shared" si="18"/>
        <v>0</v>
      </c>
      <c r="V47" s="88">
        <f t="shared" si="19"/>
        <v>0</v>
      </c>
      <c r="W47" s="88"/>
      <c r="X47" s="88"/>
      <c r="Y47" s="88"/>
      <c r="Z47" s="84">
        <v>732000</v>
      </c>
    </row>
    <row r="48" spans="1:32" s="87" customFormat="1" x14ac:dyDescent="0.25">
      <c r="A48" s="84">
        <f t="shared" si="9"/>
        <v>42</v>
      </c>
      <c r="B48" s="84">
        <v>1693</v>
      </c>
      <c r="C48" s="84" t="s">
        <v>320</v>
      </c>
      <c r="D48" s="94">
        <v>4500000</v>
      </c>
      <c r="E48" s="88">
        <v>4500000</v>
      </c>
      <c r="F48" s="88">
        <f t="shared" si="15"/>
        <v>0</v>
      </c>
      <c r="G48" s="88">
        <v>105000</v>
      </c>
      <c r="H48" s="88">
        <v>2000.01</v>
      </c>
      <c r="I48" s="88"/>
      <c r="J48" s="88">
        <v>96876</v>
      </c>
      <c r="K48" s="88">
        <f t="shared" si="20"/>
        <v>96876</v>
      </c>
      <c r="L48" s="88">
        <f t="shared" si="21"/>
        <v>98876.01</v>
      </c>
      <c r="M48" s="94">
        <f>P48+S48</f>
        <v>6123.9900000000052</v>
      </c>
      <c r="N48" s="94"/>
      <c r="O48" s="94">
        <f t="shared" si="17"/>
        <v>4395000</v>
      </c>
      <c r="P48" s="94">
        <f t="shared" si="22"/>
        <v>6123.9900000000052</v>
      </c>
      <c r="Q48" s="94"/>
      <c r="R48" s="94"/>
      <c r="S48" s="94">
        <f t="shared" si="13"/>
        <v>0</v>
      </c>
      <c r="T48" s="94">
        <f t="shared" si="23"/>
        <v>0</v>
      </c>
      <c r="U48" s="94">
        <f t="shared" si="18"/>
        <v>0</v>
      </c>
      <c r="V48" s="88">
        <f t="shared" si="19"/>
        <v>0</v>
      </c>
      <c r="W48" s="88"/>
      <c r="X48" s="88"/>
      <c r="Y48" s="88"/>
      <c r="Z48" s="84">
        <v>732000</v>
      </c>
    </row>
    <row r="49" spans="1:32" s="87" customFormat="1" x14ac:dyDescent="0.25">
      <c r="A49" s="84">
        <f t="shared" si="9"/>
        <v>43</v>
      </c>
      <c r="B49" s="84">
        <v>1756</v>
      </c>
      <c r="C49" s="84" t="s">
        <v>34</v>
      </c>
      <c r="D49" s="94">
        <v>500000</v>
      </c>
      <c r="E49" s="88">
        <v>500000</v>
      </c>
      <c r="F49" s="88">
        <f t="shared" si="15"/>
        <v>0</v>
      </c>
      <c r="G49" s="88">
        <v>400000</v>
      </c>
      <c r="H49" s="88">
        <v>74786</v>
      </c>
      <c r="I49" s="88">
        <v>58452.480000000003</v>
      </c>
      <c r="J49" s="88">
        <v>100772</v>
      </c>
      <c r="K49" s="88">
        <f t="shared" si="20"/>
        <v>159224.48000000001</v>
      </c>
      <c r="L49" s="88">
        <f t="shared" si="21"/>
        <v>234010.48</v>
      </c>
      <c r="M49" s="94">
        <f>P49+S49</f>
        <v>165989.51999999999</v>
      </c>
      <c r="N49" s="94"/>
      <c r="O49" s="94">
        <f t="shared" si="17"/>
        <v>100000.00000000003</v>
      </c>
      <c r="P49" s="94">
        <f t="shared" si="22"/>
        <v>165989.51999999999</v>
      </c>
      <c r="Q49" s="94"/>
      <c r="R49" s="94"/>
      <c r="S49" s="94">
        <f t="shared" si="13"/>
        <v>0</v>
      </c>
      <c r="T49" s="94">
        <f t="shared" si="23"/>
        <v>0</v>
      </c>
      <c r="U49" s="94">
        <f t="shared" si="18"/>
        <v>0</v>
      </c>
      <c r="V49" s="88">
        <f t="shared" si="19"/>
        <v>0</v>
      </c>
      <c r="W49" s="88"/>
      <c r="X49" s="88"/>
      <c r="Y49" s="88"/>
      <c r="Z49" s="84">
        <v>732000</v>
      </c>
    </row>
    <row r="50" spans="1:32" s="87" customFormat="1" x14ac:dyDescent="0.25">
      <c r="A50" s="84">
        <f t="shared" si="9"/>
        <v>44</v>
      </c>
      <c r="B50" s="84">
        <v>1757</v>
      </c>
      <c r="C50" s="84" t="s">
        <v>35</v>
      </c>
      <c r="D50" s="94">
        <v>300000</v>
      </c>
      <c r="E50" s="88">
        <v>300000</v>
      </c>
      <c r="F50" s="88">
        <f t="shared" si="15"/>
        <v>0</v>
      </c>
      <c r="G50" s="88">
        <v>300000</v>
      </c>
      <c r="H50" s="88">
        <v>0</v>
      </c>
      <c r="I50" s="88"/>
      <c r="J50" s="88">
        <v>11817</v>
      </c>
      <c r="K50" s="88">
        <f t="shared" si="20"/>
        <v>11817</v>
      </c>
      <c r="L50" s="88">
        <f t="shared" si="21"/>
        <v>11817</v>
      </c>
      <c r="M50" s="94">
        <f>P50+S50-190000</f>
        <v>98183</v>
      </c>
      <c r="N50" s="94"/>
      <c r="O50" s="94">
        <f t="shared" si="17"/>
        <v>190000</v>
      </c>
      <c r="P50" s="94">
        <f t="shared" si="22"/>
        <v>288183</v>
      </c>
      <c r="Q50" s="94"/>
      <c r="R50" s="94"/>
      <c r="S50" s="94">
        <f t="shared" si="13"/>
        <v>0</v>
      </c>
      <c r="T50" s="94">
        <f t="shared" si="23"/>
        <v>190000</v>
      </c>
      <c r="U50" s="94">
        <f t="shared" si="18"/>
        <v>-190000</v>
      </c>
      <c r="V50" s="88">
        <f t="shared" si="19"/>
        <v>-190000</v>
      </c>
      <c r="W50" s="88"/>
      <c r="X50" s="88"/>
      <c r="Y50" s="88"/>
      <c r="Z50" s="84">
        <v>732000</v>
      </c>
    </row>
    <row r="51" spans="1:32" s="87" customFormat="1" x14ac:dyDescent="0.25">
      <c r="A51" s="84">
        <f>A50+1</f>
        <v>45</v>
      </c>
      <c r="B51" s="84">
        <v>1758</v>
      </c>
      <c r="C51" s="84" t="s">
        <v>253</v>
      </c>
      <c r="D51" s="94">
        <v>300000</v>
      </c>
      <c r="E51" s="88">
        <v>300000</v>
      </c>
      <c r="F51" s="88">
        <f t="shared" si="15"/>
        <v>0</v>
      </c>
      <c r="G51" s="88">
        <v>300000</v>
      </c>
      <c r="H51" s="88">
        <v>0</v>
      </c>
      <c r="I51" s="88">
        <v>380.25</v>
      </c>
      <c r="J51" s="88">
        <v>15736.5</v>
      </c>
      <c r="K51" s="88">
        <f t="shared" si="20"/>
        <v>16116.75</v>
      </c>
      <c r="L51" s="88">
        <f t="shared" si="21"/>
        <v>16116.75</v>
      </c>
      <c r="M51" s="94">
        <f>P51+S51-180000</f>
        <v>103883.25</v>
      </c>
      <c r="N51" s="94"/>
      <c r="O51" s="94">
        <f t="shared" si="17"/>
        <v>180000</v>
      </c>
      <c r="P51" s="94">
        <f t="shared" si="22"/>
        <v>283883.25</v>
      </c>
      <c r="Q51" s="94"/>
      <c r="R51" s="94"/>
      <c r="S51" s="94">
        <f t="shared" si="13"/>
        <v>0</v>
      </c>
      <c r="T51" s="94">
        <f t="shared" si="23"/>
        <v>180000</v>
      </c>
      <c r="U51" s="94">
        <f t="shared" si="18"/>
        <v>-180000</v>
      </c>
      <c r="V51" s="88">
        <f t="shared" si="19"/>
        <v>-180000</v>
      </c>
      <c r="W51" s="88"/>
      <c r="X51" s="88"/>
      <c r="Y51" s="88"/>
      <c r="Z51" s="84">
        <v>732000</v>
      </c>
    </row>
    <row r="52" spans="1:32" s="87" customFormat="1" x14ac:dyDescent="0.25">
      <c r="A52" s="84">
        <f t="shared" si="9"/>
        <v>46</v>
      </c>
      <c r="B52" s="84">
        <v>1759</v>
      </c>
      <c r="C52" s="84" t="s">
        <v>37</v>
      </c>
      <c r="D52" s="94">
        <v>600000</v>
      </c>
      <c r="E52" s="88">
        <v>600000</v>
      </c>
      <c r="F52" s="88">
        <f t="shared" si="15"/>
        <v>0</v>
      </c>
      <c r="G52" s="88">
        <v>500000</v>
      </c>
      <c r="H52" s="88">
        <v>432445</v>
      </c>
      <c r="I52" s="88">
        <v>17151.75</v>
      </c>
      <c r="J52" s="88">
        <v>47210</v>
      </c>
      <c r="K52" s="88">
        <f t="shared" si="20"/>
        <v>64361.75</v>
      </c>
      <c r="L52" s="88">
        <f t="shared" si="21"/>
        <v>496806.75</v>
      </c>
      <c r="M52" s="94">
        <f>P52+S52</f>
        <v>3193.25</v>
      </c>
      <c r="N52" s="94"/>
      <c r="O52" s="94">
        <f t="shared" si="17"/>
        <v>100000</v>
      </c>
      <c r="P52" s="94">
        <f t="shared" si="22"/>
        <v>3193.25</v>
      </c>
      <c r="Q52" s="94"/>
      <c r="R52" s="94"/>
      <c r="S52" s="94">
        <f t="shared" si="13"/>
        <v>0</v>
      </c>
      <c r="T52" s="94">
        <f t="shared" si="23"/>
        <v>0</v>
      </c>
      <c r="U52" s="94">
        <f t="shared" si="18"/>
        <v>0</v>
      </c>
      <c r="V52" s="88">
        <f t="shared" si="19"/>
        <v>0</v>
      </c>
      <c r="W52" s="88"/>
      <c r="X52" s="88"/>
      <c r="Y52" s="84"/>
      <c r="Z52" s="84">
        <v>732000</v>
      </c>
    </row>
    <row r="53" spans="1:32" s="95" customFormat="1" ht="27.6" x14ac:dyDescent="0.25">
      <c r="A53" s="84">
        <f t="shared" si="9"/>
        <v>47</v>
      </c>
      <c r="B53" s="84">
        <v>1761</v>
      </c>
      <c r="C53" s="84" t="s">
        <v>39</v>
      </c>
      <c r="D53" s="94">
        <v>400000</v>
      </c>
      <c r="E53" s="88">
        <v>400000</v>
      </c>
      <c r="F53" s="88">
        <f t="shared" si="15"/>
        <v>0</v>
      </c>
      <c r="G53" s="88">
        <v>150000</v>
      </c>
      <c r="H53" s="88">
        <v>0</v>
      </c>
      <c r="I53" s="88"/>
      <c r="J53" s="88"/>
      <c r="K53" s="88">
        <f t="shared" si="20"/>
        <v>0</v>
      </c>
      <c r="L53" s="88">
        <f t="shared" si="21"/>
        <v>0</v>
      </c>
      <c r="M53" s="94">
        <f>P53+S53</f>
        <v>150000</v>
      </c>
      <c r="N53" s="94"/>
      <c r="O53" s="94">
        <f t="shared" si="17"/>
        <v>250000</v>
      </c>
      <c r="P53" s="94">
        <f t="shared" si="22"/>
        <v>150000</v>
      </c>
      <c r="Q53" s="94"/>
      <c r="R53" s="94"/>
      <c r="S53" s="94">
        <f t="shared" si="13"/>
        <v>0</v>
      </c>
      <c r="T53" s="94">
        <f t="shared" si="23"/>
        <v>0</v>
      </c>
      <c r="U53" s="94">
        <f t="shared" si="18"/>
        <v>0</v>
      </c>
      <c r="V53" s="88">
        <f t="shared" si="19"/>
        <v>0</v>
      </c>
      <c r="W53" s="88"/>
      <c r="X53" s="88"/>
      <c r="Y53" s="84"/>
      <c r="Z53" s="84">
        <v>732000</v>
      </c>
      <c r="AA53" s="87"/>
      <c r="AB53" s="87"/>
      <c r="AC53" s="87"/>
      <c r="AD53" s="87"/>
      <c r="AE53" s="87"/>
      <c r="AF53" s="87"/>
    </row>
    <row r="54" spans="1:32" s="87" customFormat="1" x14ac:dyDescent="0.25">
      <c r="A54" s="84">
        <f t="shared" si="9"/>
        <v>48</v>
      </c>
      <c r="B54" s="84">
        <v>1811</v>
      </c>
      <c r="C54" s="84" t="s">
        <v>284</v>
      </c>
      <c r="D54" s="94">
        <v>250000</v>
      </c>
      <c r="E54" s="88">
        <v>250000</v>
      </c>
      <c r="F54" s="88">
        <f t="shared" si="15"/>
        <v>0</v>
      </c>
      <c r="G54" s="88">
        <v>250000</v>
      </c>
      <c r="H54" s="88">
        <v>0</v>
      </c>
      <c r="I54" s="88"/>
      <c r="J54" s="88"/>
      <c r="K54" s="88">
        <f t="shared" si="20"/>
        <v>0</v>
      </c>
      <c r="L54" s="88">
        <f t="shared" si="21"/>
        <v>0</v>
      </c>
      <c r="M54" s="94">
        <f>P54+S54</f>
        <v>250000</v>
      </c>
      <c r="N54" s="94"/>
      <c r="O54" s="94">
        <f t="shared" si="17"/>
        <v>0</v>
      </c>
      <c r="P54" s="94">
        <f t="shared" si="22"/>
        <v>250000</v>
      </c>
      <c r="Q54" s="94"/>
      <c r="R54" s="94"/>
      <c r="S54" s="94">
        <f t="shared" si="13"/>
        <v>0</v>
      </c>
      <c r="T54" s="94">
        <f t="shared" si="23"/>
        <v>0</v>
      </c>
      <c r="U54" s="94">
        <f t="shared" si="18"/>
        <v>0</v>
      </c>
      <c r="V54" s="88">
        <f t="shared" si="19"/>
        <v>0</v>
      </c>
      <c r="W54" s="88"/>
      <c r="X54" s="88"/>
      <c r="Y54" s="88"/>
      <c r="Z54" s="84">
        <v>732000</v>
      </c>
    </row>
    <row r="55" spans="1:32" s="87" customFormat="1" x14ac:dyDescent="0.25">
      <c r="A55" s="84">
        <f t="shared" si="9"/>
        <v>49</v>
      </c>
      <c r="B55" s="84">
        <v>1843</v>
      </c>
      <c r="C55" s="84" t="s">
        <v>314</v>
      </c>
      <c r="D55" s="94">
        <v>70000</v>
      </c>
      <c r="E55" s="88">
        <v>70000</v>
      </c>
      <c r="F55" s="88"/>
      <c r="G55" s="88">
        <v>70000</v>
      </c>
      <c r="H55" s="88">
        <v>0</v>
      </c>
      <c r="I55" s="88"/>
      <c r="J55" s="88">
        <v>1.17</v>
      </c>
      <c r="K55" s="88">
        <f t="shared" si="20"/>
        <v>1.17</v>
      </c>
      <c r="L55" s="88">
        <f t="shared" si="21"/>
        <v>1.17</v>
      </c>
      <c r="M55" s="94">
        <f>P55+S55</f>
        <v>69998.83</v>
      </c>
      <c r="N55" s="94"/>
      <c r="O55" s="94">
        <f t="shared" si="17"/>
        <v>0</v>
      </c>
      <c r="P55" s="94">
        <f t="shared" si="22"/>
        <v>69998.83</v>
      </c>
      <c r="Q55" s="94"/>
      <c r="R55" s="94"/>
      <c r="S55" s="94">
        <f t="shared" si="13"/>
        <v>0</v>
      </c>
      <c r="T55" s="94">
        <f t="shared" si="23"/>
        <v>0</v>
      </c>
      <c r="U55" s="94">
        <f t="shared" si="18"/>
        <v>0</v>
      </c>
      <c r="V55" s="88">
        <f t="shared" si="19"/>
        <v>0</v>
      </c>
      <c r="W55" s="88"/>
      <c r="X55" s="88"/>
      <c r="Y55" s="84"/>
      <c r="Z55" s="84">
        <v>732000</v>
      </c>
    </row>
    <row r="56" spans="1:32" s="87" customFormat="1" x14ac:dyDescent="0.25">
      <c r="A56" s="84">
        <f t="shared" si="9"/>
        <v>50</v>
      </c>
      <c r="B56" s="84">
        <v>1844</v>
      </c>
      <c r="C56" s="84" t="s">
        <v>315</v>
      </c>
      <c r="D56" s="94">
        <v>732000</v>
      </c>
      <c r="E56" s="88">
        <v>732000</v>
      </c>
      <c r="F56" s="88"/>
      <c r="G56" s="88">
        <v>70000</v>
      </c>
      <c r="H56" s="88">
        <v>0</v>
      </c>
      <c r="I56" s="88"/>
      <c r="J56" s="88">
        <v>1.17</v>
      </c>
      <c r="K56" s="88">
        <f t="shared" si="20"/>
        <v>1.17</v>
      </c>
      <c r="L56" s="88">
        <f t="shared" si="21"/>
        <v>1.17</v>
      </c>
      <c r="M56" s="94">
        <f>P56+S56</f>
        <v>69998.83</v>
      </c>
      <c r="N56" s="94"/>
      <c r="O56" s="94">
        <f t="shared" si="17"/>
        <v>662000</v>
      </c>
      <c r="P56" s="94">
        <f t="shared" si="22"/>
        <v>69998.83</v>
      </c>
      <c r="Q56" s="94"/>
      <c r="R56" s="94"/>
      <c r="S56" s="94">
        <f t="shared" si="13"/>
        <v>0</v>
      </c>
      <c r="T56" s="94">
        <f t="shared" si="23"/>
        <v>0</v>
      </c>
      <c r="U56" s="94">
        <f t="shared" si="18"/>
        <v>0</v>
      </c>
      <c r="V56" s="88">
        <f t="shared" si="19"/>
        <v>0</v>
      </c>
      <c r="W56" s="88"/>
      <c r="X56" s="88"/>
      <c r="Y56" s="84"/>
      <c r="Z56" s="84">
        <v>732000</v>
      </c>
    </row>
    <row r="57" spans="1:32" s="120" customFormat="1" ht="15.6" x14ac:dyDescent="0.25">
      <c r="A57" s="379"/>
      <c r="B57" s="28"/>
      <c r="C57" s="28">
        <v>73</v>
      </c>
      <c r="D57" s="210">
        <f>SUM(D7:D56)</f>
        <v>86390000</v>
      </c>
      <c r="E57" s="210">
        <f t="shared" ref="E57:Y57" si="24">SUM(E7:E56)</f>
        <v>84772000</v>
      </c>
      <c r="F57" s="210">
        <f t="shared" si="24"/>
        <v>1618000</v>
      </c>
      <c r="G57" s="210">
        <f t="shared" si="24"/>
        <v>56043676</v>
      </c>
      <c r="H57" s="210">
        <f t="shared" si="24"/>
        <v>35068124.399999999</v>
      </c>
      <c r="I57" s="210">
        <f t="shared" si="24"/>
        <v>3909280.9100000006</v>
      </c>
      <c r="J57" s="210">
        <f t="shared" si="24"/>
        <v>3865614.6199999996</v>
      </c>
      <c r="K57" s="210">
        <f t="shared" si="24"/>
        <v>7774895.5300000003</v>
      </c>
      <c r="L57" s="210">
        <f t="shared" si="24"/>
        <v>42843019.93</v>
      </c>
      <c r="M57" s="210">
        <f t="shared" si="24"/>
        <v>12275656.069999998</v>
      </c>
      <c r="N57" s="210">
        <f t="shared" si="24"/>
        <v>4510000</v>
      </c>
      <c r="O57" s="210">
        <f t="shared" si="24"/>
        <v>26761324</v>
      </c>
      <c r="P57" s="210">
        <f t="shared" si="24"/>
        <v>13200656.069999998</v>
      </c>
      <c r="Q57" s="210">
        <f t="shared" si="24"/>
        <v>1575000</v>
      </c>
      <c r="R57" s="210">
        <f t="shared" si="24"/>
        <v>450000</v>
      </c>
      <c r="S57" s="210">
        <f t="shared" si="24"/>
        <v>2025000</v>
      </c>
      <c r="T57" s="210">
        <f t="shared" si="24"/>
        <v>2950000</v>
      </c>
      <c r="U57" s="210">
        <f t="shared" si="24"/>
        <v>1560000</v>
      </c>
      <c r="V57" s="210">
        <f t="shared" si="24"/>
        <v>1060000</v>
      </c>
      <c r="W57" s="210">
        <f t="shared" si="24"/>
        <v>0</v>
      </c>
      <c r="X57" s="210">
        <f t="shared" si="24"/>
        <v>0</v>
      </c>
      <c r="Y57" s="210">
        <f t="shared" si="24"/>
        <v>500000</v>
      </c>
      <c r="Z57" s="28"/>
    </row>
    <row r="58" spans="1:32" s="87" customFormat="1" x14ac:dyDescent="0.25">
      <c r="A58" s="93"/>
      <c r="B58" s="84"/>
      <c r="C58" s="84"/>
      <c r="D58" s="94"/>
      <c r="E58" s="88"/>
      <c r="F58" s="88"/>
      <c r="G58" s="88"/>
      <c r="H58" s="88"/>
      <c r="I58" s="88"/>
      <c r="J58" s="88"/>
      <c r="K58" s="88"/>
      <c r="L58" s="88"/>
      <c r="M58" s="94"/>
      <c r="N58" s="94"/>
      <c r="O58" s="94"/>
      <c r="P58" s="94"/>
      <c r="Q58" s="94"/>
      <c r="R58" s="94"/>
      <c r="S58" s="94"/>
      <c r="T58" s="94"/>
      <c r="U58" s="94"/>
      <c r="V58" s="88"/>
      <c r="W58" s="88"/>
      <c r="X58" s="88"/>
      <c r="Y58" s="84"/>
      <c r="Z58" s="84"/>
    </row>
    <row r="59" spans="1:32" s="87" customFormat="1" x14ac:dyDescent="0.25">
      <c r="A59" s="84">
        <f>A56+1</f>
        <v>51</v>
      </c>
      <c r="B59" s="84">
        <v>502</v>
      </c>
      <c r="C59" s="84" t="s">
        <v>96</v>
      </c>
      <c r="D59" s="94">
        <f>63700000-517000</f>
        <v>63183000</v>
      </c>
      <c r="E59" s="88">
        <v>63700000</v>
      </c>
      <c r="F59" s="88">
        <f t="shared" ref="F59:F94" si="25">D59-E59</f>
        <v>-517000</v>
      </c>
      <c r="G59" s="88">
        <v>63183000</v>
      </c>
      <c r="H59" s="88">
        <v>63178078.729999997</v>
      </c>
      <c r="I59" s="88">
        <v>4635.8500000000004</v>
      </c>
      <c r="J59" s="88">
        <v>71.040000000000006</v>
      </c>
      <c r="K59" s="88">
        <f t="shared" ref="K59:K97" si="26">SUM(I59:J59)</f>
        <v>4706.8900000000003</v>
      </c>
      <c r="L59" s="88">
        <f t="shared" ref="L59:L97" si="27">H59+K59</f>
        <v>63182785.619999997</v>
      </c>
      <c r="M59" s="94">
        <f>P59+S59</f>
        <v>214.38000000268221</v>
      </c>
      <c r="N59" s="94"/>
      <c r="O59" s="94">
        <f t="shared" ref="O59:O104" si="28">D59-L59-M59-N59</f>
        <v>0</v>
      </c>
      <c r="P59" s="94">
        <f t="shared" ref="P59:P104" si="29">G59-L59</f>
        <v>214.38000000268221</v>
      </c>
      <c r="Q59" s="94"/>
      <c r="R59" s="94"/>
      <c r="S59" s="94">
        <f t="shared" ref="S59:S104" si="30">SUM(Q59:R59)</f>
        <v>0</v>
      </c>
      <c r="T59" s="94">
        <f t="shared" ref="T59:T97" si="31">P59-M59+S59</f>
        <v>0</v>
      </c>
      <c r="U59" s="94">
        <f t="shared" ref="U59:U104" si="32">N59-T59</f>
        <v>0</v>
      </c>
      <c r="V59" s="88">
        <f t="shared" ref="V59:V104" si="33">U59-Y59-W59-X59</f>
        <v>0</v>
      </c>
      <c r="W59" s="88"/>
      <c r="X59" s="88"/>
      <c r="Y59" s="84"/>
      <c r="Z59" s="84">
        <v>742000</v>
      </c>
      <c r="AB59" s="92"/>
      <c r="AC59" s="92"/>
      <c r="AD59" s="92"/>
      <c r="AE59" s="92"/>
      <c r="AF59" s="92"/>
    </row>
    <row r="60" spans="1:32" s="87" customFormat="1" x14ac:dyDescent="0.25">
      <c r="A60" s="84">
        <f>A59+1</f>
        <v>52</v>
      </c>
      <c r="B60" s="84">
        <v>507</v>
      </c>
      <c r="C60" s="84" t="s">
        <v>72</v>
      </c>
      <c r="D60" s="94">
        <v>1810000</v>
      </c>
      <c r="E60" s="88">
        <v>1810000</v>
      </c>
      <c r="F60" s="88">
        <f t="shared" si="25"/>
        <v>0</v>
      </c>
      <c r="G60" s="88">
        <v>1810000</v>
      </c>
      <c r="H60" s="88">
        <v>1653104.23</v>
      </c>
      <c r="I60" s="88">
        <v>11432.19</v>
      </c>
      <c r="J60" s="88"/>
      <c r="K60" s="88">
        <f t="shared" si="26"/>
        <v>11432.19</v>
      </c>
      <c r="L60" s="88">
        <f t="shared" si="27"/>
        <v>1664536.42</v>
      </c>
      <c r="M60" s="94">
        <f>P60+S60-145000</f>
        <v>463.58000000007451</v>
      </c>
      <c r="N60" s="94"/>
      <c r="O60" s="94">
        <f t="shared" si="28"/>
        <v>145000</v>
      </c>
      <c r="P60" s="94">
        <f t="shared" si="29"/>
        <v>145463.58000000007</v>
      </c>
      <c r="Q60" s="94"/>
      <c r="R60" s="94"/>
      <c r="S60" s="94">
        <f t="shared" si="30"/>
        <v>0</v>
      </c>
      <c r="T60" s="94">
        <f t="shared" si="31"/>
        <v>145000</v>
      </c>
      <c r="U60" s="94">
        <f t="shared" si="32"/>
        <v>-145000</v>
      </c>
      <c r="V60" s="88">
        <f t="shared" si="33"/>
        <v>-145000</v>
      </c>
      <c r="W60" s="88"/>
      <c r="X60" s="88"/>
      <c r="Y60" s="84"/>
      <c r="Z60" s="84">
        <v>742000</v>
      </c>
      <c r="AB60" s="92"/>
      <c r="AC60" s="92"/>
      <c r="AD60" s="92"/>
      <c r="AE60" s="92"/>
      <c r="AF60" s="92"/>
    </row>
    <row r="61" spans="1:32" s="87" customFormat="1" x14ac:dyDescent="0.25">
      <c r="A61" s="84">
        <f>A60+1</f>
        <v>53</v>
      </c>
      <c r="B61" s="93">
        <v>546</v>
      </c>
      <c r="C61" s="93" t="s">
        <v>73</v>
      </c>
      <c r="D61" s="94">
        <v>5850000</v>
      </c>
      <c r="E61" s="94">
        <v>5850000</v>
      </c>
      <c r="F61" s="94">
        <f t="shared" si="25"/>
        <v>0</v>
      </c>
      <c r="G61" s="94">
        <v>3550000</v>
      </c>
      <c r="H61" s="94">
        <v>2895703.4</v>
      </c>
      <c r="I61" s="94">
        <v>18052.75</v>
      </c>
      <c r="J61" s="94"/>
      <c r="K61" s="94">
        <f t="shared" si="26"/>
        <v>18052.75</v>
      </c>
      <c r="L61" s="94">
        <f t="shared" si="27"/>
        <v>2913756.15</v>
      </c>
      <c r="M61" s="94">
        <f>P61+S61</f>
        <v>636243.85000000009</v>
      </c>
      <c r="N61" s="94"/>
      <c r="O61" s="94">
        <f t="shared" si="28"/>
        <v>2300000</v>
      </c>
      <c r="P61" s="94">
        <f t="shared" si="29"/>
        <v>636243.85000000009</v>
      </c>
      <c r="Q61" s="94"/>
      <c r="R61" s="94"/>
      <c r="S61" s="94">
        <f t="shared" si="30"/>
        <v>0</v>
      </c>
      <c r="T61" s="94">
        <f t="shared" si="31"/>
        <v>0</v>
      </c>
      <c r="U61" s="94">
        <f t="shared" si="32"/>
        <v>0</v>
      </c>
      <c r="V61" s="94">
        <f t="shared" si="33"/>
        <v>0</v>
      </c>
      <c r="W61" s="94"/>
      <c r="X61" s="94"/>
      <c r="Y61" s="93"/>
      <c r="Z61" s="93">
        <v>742000</v>
      </c>
      <c r="AA61" s="95"/>
      <c r="AB61" s="95"/>
      <c r="AC61" s="95"/>
      <c r="AD61" s="95"/>
      <c r="AE61" s="95"/>
      <c r="AF61" s="95"/>
    </row>
    <row r="62" spans="1:32" s="92" customFormat="1" x14ac:dyDescent="0.25">
      <c r="A62" s="84">
        <f t="shared" ref="A62:A104" si="34">A61+1</f>
        <v>54</v>
      </c>
      <c r="B62" s="93">
        <v>592</v>
      </c>
      <c r="C62" s="93" t="s">
        <v>42</v>
      </c>
      <c r="D62" s="94">
        <v>40720000</v>
      </c>
      <c r="E62" s="94">
        <v>24500000</v>
      </c>
      <c r="F62" s="94">
        <f t="shared" si="25"/>
        <v>16220000</v>
      </c>
      <c r="G62" s="94">
        <v>18420000</v>
      </c>
      <c r="H62" s="94">
        <v>17191546.350000001</v>
      </c>
      <c r="I62" s="94">
        <v>41351.410000000003</v>
      </c>
      <c r="J62" s="94">
        <v>224333.65</v>
      </c>
      <c r="K62" s="94">
        <f t="shared" si="26"/>
        <v>265685.06</v>
      </c>
      <c r="L62" s="94">
        <f t="shared" si="27"/>
        <v>17457231.41</v>
      </c>
      <c r="M62" s="94">
        <f>P62+S62</f>
        <v>962768.58999999985</v>
      </c>
      <c r="N62" s="94"/>
      <c r="O62" s="94">
        <f t="shared" si="28"/>
        <v>22300000</v>
      </c>
      <c r="P62" s="94">
        <f t="shared" si="29"/>
        <v>962768.58999999985</v>
      </c>
      <c r="Q62" s="94"/>
      <c r="R62" s="94"/>
      <c r="S62" s="94">
        <f t="shared" si="30"/>
        <v>0</v>
      </c>
      <c r="T62" s="94">
        <f t="shared" si="31"/>
        <v>0</v>
      </c>
      <c r="U62" s="94">
        <f t="shared" si="32"/>
        <v>0</v>
      </c>
      <c r="V62" s="94">
        <f t="shared" si="33"/>
        <v>0</v>
      </c>
      <c r="W62" s="94"/>
      <c r="X62" s="94"/>
      <c r="Y62" s="93"/>
      <c r="Z62" s="93">
        <v>742000</v>
      </c>
      <c r="AA62" s="95"/>
      <c r="AB62" s="97"/>
      <c r="AC62" s="97"/>
      <c r="AD62" s="97"/>
      <c r="AE62" s="97"/>
      <c r="AF62" s="97"/>
    </row>
    <row r="63" spans="1:32" s="92" customFormat="1" x14ac:dyDescent="0.25">
      <c r="A63" s="84">
        <f t="shared" si="34"/>
        <v>55</v>
      </c>
      <c r="B63" s="93">
        <v>606</v>
      </c>
      <c r="C63" s="93" t="s">
        <v>97</v>
      </c>
      <c r="D63" s="94">
        <v>2800000</v>
      </c>
      <c r="E63" s="94">
        <v>2800000</v>
      </c>
      <c r="F63" s="94">
        <f t="shared" si="25"/>
        <v>0</v>
      </c>
      <c r="G63" s="94">
        <v>550000</v>
      </c>
      <c r="H63" s="94">
        <v>388487.75</v>
      </c>
      <c r="I63" s="94">
        <v>21510</v>
      </c>
      <c r="J63" s="94"/>
      <c r="K63" s="94">
        <f t="shared" si="26"/>
        <v>21510</v>
      </c>
      <c r="L63" s="94">
        <f t="shared" si="27"/>
        <v>409997.75</v>
      </c>
      <c r="M63" s="94">
        <f>P63+S63-140000</f>
        <v>2.25</v>
      </c>
      <c r="N63" s="94"/>
      <c r="O63" s="94">
        <f t="shared" si="28"/>
        <v>2390000</v>
      </c>
      <c r="P63" s="94">
        <f t="shared" si="29"/>
        <v>140002.25</v>
      </c>
      <c r="Q63" s="94"/>
      <c r="R63" s="94"/>
      <c r="S63" s="94">
        <f t="shared" si="30"/>
        <v>0</v>
      </c>
      <c r="T63" s="94">
        <f t="shared" si="31"/>
        <v>140000</v>
      </c>
      <c r="U63" s="94">
        <f t="shared" si="32"/>
        <v>-140000</v>
      </c>
      <c r="V63" s="94">
        <f t="shared" si="33"/>
        <v>-140000</v>
      </c>
      <c r="W63" s="94"/>
      <c r="X63" s="94"/>
      <c r="Y63" s="93"/>
      <c r="Z63" s="93">
        <v>742000</v>
      </c>
      <c r="AA63" s="95"/>
      <c r="AB63" s="95"/>
      <c r="AC63" s="95"/>
      <c r="AD63" s="95"/>
      <c r="AE63" s="95"/>
      <c r="AF63" s="95"/>
    </row>
    <row r="64" spans="1:32" s="87" customFormat="1" x14ac:dyDescent="0.25">
      <c r="A64" s="84">
        <f t="shared" si="34"/>
        <v>56</v>
      </c>
      <c r="B64" s="93">
        <v>631</v>
      </c>
      <c r="C64" s="93" t="s">
        <v>98</v>
      </c>
      <c r="D64" s="94">
        <v>7505000</v>
      </c>
      <c r="E64" s="94">
        <v>7445000</v>
      </c>
      <c r="F64" s="94">
        <f t="shared" si="25"/>
        <v>60000</v>
      </c>
      <c r="G64" s="94">
        <v>7105000</v>
      </c>
      <c r="H64" s="94">
        <v>7030689.3200000003</v>
      </c>
      <c r="I64" s="94">
        <v>27554.53</v>
      </c>
      <c r="J64" s="94"/>
      <c r="K64" s="94">
        <f t="shared" si="26"/>
        <v>27554.53</v>
      </c>
      <c r="L64" s="94">
        <f t="shared" si="27"/>
        <v>7058243.8500000006</v>
      </c>
      <c r="M64" s="94">
        <f t="shared" ref="M64:M75" si="35">P64+S64</f>
        <v>46756.149999999441</v>
      </c>
      <c r="N64" s="94">
        <v>400000</v>
      </c>
      <c r="O64" s="94">
        <f t="shared" si="28"/>
        <v>0</v>
      </c>
      <c r="P64" s="94">
        <f t="shared" si="29"/>
        <v>46756.149999999441</v>
      </c>
      <c r="Q64" s="94"/>
      <c r="R64" s="94"/>
      <c r="S64" s="94">
        <f t="shared" si="30"/>
        <v>0</v>
      </c>
      <c r="T64" s="94">
        <f t="shared" si="31"/>
        <v>0</v>
      </c>
      <c r="U64" s="94">
        <f t="shared" si="32"/>
        <v>400000</v>
      </c>
      <c r="V64" s="94">
        <f t="shared" si="33"/>
        <v>400000</v>
      </c>
      <c r="W64" s="94"/>
      <c r="X64" s="94"/>
      <c r="Y64" s="93"/>
      <c r="Z64" s="93">
        <v>742000</v>
      </c>
      <c r="AA64" s="95"/>
      <c r="AB64" s="95"/>
      <c r="AC64" s="95"/>
      <c r="AD64" s="95"/>
      <c r="AE64" s="95"/>
      <c r="AF64" s="95"/>
    </row>
    <row r="65" spans="1:32" s="87" customFormat="1" x14ac:dyDescent="0.25">
      <c r="A65" s="84">
        <f t="shared" si="34"/>
        <v>57</v>
      </c>
      <c r="B65" s="93">
        <v>638</v>
      </c>
      <c r="C65" s="93" t="s">
        <v>74</v>
      </c>
      <c r="D65" s="94">
        <v>7000000</v>
      </c>
      <c r="E65" s="94">
        <v>7000000</v>
      </c>
      <c r="F65" s="94">
        <f t="shared" si="25"/>
        <v>0</v>
      </c>
      <c r="G65" s="94">
        <v>4600000</v>
      </c>
      <c r="H65" s="94">
        <v>3454838.96</v>
      </c>
      <c r="I65" s="94">
        <v>56151.29</v>
      </c>
      <c r="J65" s="94">
        <v>76658.78</v>
      </c>
      <c r="K65" s="94">
        <f t="shared" si="26"/>
        <v>132810.07</v>
      </c>
      <c r="L65" s="94">
        <f t="shared" si="27"/>
        <v>3587649.03</v>
      </c>
      <c r="M65" s="94">
        <f t="shared" si="35"/>
        <v>1012350.9700000002</v>
      </c>
      <c r="N65" s="94"/>
      <c r="O65" s="94">
        <f t="shared" si="28"/>
        <v>2400000</v>
      </c>
      <c r="P65" s="94">
        <f t="shared" si="29"/>
        <v>1012350.9700000002</v>
      </c>
      <c r="Q65" s="94"/>
      <c r="R65" s="94"/>
      <c r="S65" s="94">
        <f t="shared" si="30"/>
        <v>0</v>
      </c>
      <c r="T65" s="94">
        <f t="shared" si="31"/>
        <v>0</v>
      </c>
      <c r="U65" s="94">
        <f t="shared" si="32"/>
        <v>0</v>
      </c>
      <c r="V65" s="88">
        <f t="shared" si="33"/>
        <v>0</v>
      </c>
      <c r="W65" s="88"/>
      <c r="X65" s="88"/>
      <c r="Y65" s="84"/>
      <c r="Z65" s="93">
        <v>742000</v>
      </c>
      <c r="AA65" s="95"/>
      <c r="AB65" s="95"/>
      <c r="AC65" s="95"/>
      <c r="AD65" s="95"/>
      <c r="AE65" s="95"/>
      <c r="AF65" s="95"/>
    </row>
    <row r="66" spans="1:32" s="92" customFormat="1" x14ac:dyDescent="0.25">
      <c r="A66" s="84">
        <f t="shared" si="34"/>
        <v>58</v>
      </c>
      <c r="B66" s="84">
        <v>1018</v>
      </c>
      <c r="C66" s="84" t="s">
        <v>43</v>
      </c>
      <c r="D66" s="94">
        <v>31900000</v>
      </c>
      <c r="E66" s="88">
        <v>31900000</v>
      </c>
      <c r="F66" s="88">
        <f t="shared" si="25"/>
        <v>0</v>
      </c>
      <c r="G66" s="88">
        <v>6100000</v>
      </c>
      <c r="H66" s="88">
        <v>3004971.79</v>
      </c>
      <c r="I66" s="88">
        <v>4590.32</v>
      </c>
      <c r="J66" s="88">
        <v>84192.99</v>
      </c>
      <c r="K66" s="88">
        <f t="shared" si="26"/>
        <v>88783.31</v>
      </c>
      <c r="L66" s="88">
        <f t="shared" si="27"/>
        <v>3093755.1</v>
      </c>
      <c r="M66" s="94">
        <f t="shared" si="35"/>
        <v>3006244.9</v>
      </c>
      <c r="N66" s="94"/>
      <c r="O66" s="94">
        <f t="shared" si="28"/>
        <v>25800000</v>
      </c>
      <c r="P66" s="94">
        <f t="shared" si="29"/>
        <v>3006244.9</v>
      </c>
      <c r="Q66" s="94"/>
      <c r="R66" s="94"/>
      <c r="S66" s="94">
        <f t="shared" si="30"/>
        <v>0</v>
      </c>
      <c r="T66" s="94">
        <f t="shared" si="31"/>
        <v>0</v>
      </c>
      <c r="U66" s="94">
        <f t="shared" si="32"/>
        <v>0</v>
      </c>
      <c r="V66" s="88">
        <f t="shared" si="33"/>
        <v>0</v>
      </c>
      <c r="W66" s="88"/>
      <c r="X66" s="88"/>
      <c r="Y66" s="84"/>
      <c r="Z66" s="84">
        <v>742000</v>
      </c>
      <c r="AA66" s="87"/>
      <c r="AB66" s="87"/>
      <c r="AC66" s="87"/>
      <c r="AD66" s="87"/>
      <c r="AE66" s="87"/>
      <c r="AF66" s="87"/>
    </row>
    <row r="67" spans="1:32" s="92" customFormat="1" x14ac:dyDescent="0.25">
      <c r="A67" s="84">
        <f t="shared" si="34"/>
        <v>59</v>
      </c>
      <c r="B67" s="84">
        <v>1097</v>
      </c>
      <c r="C67" s="84" t="s">
        <v>75</v>
      </c>
      <c r="D67" s="94">
        <v>1630000</v>
      </c>
      <c r="E67" s="88">
        <v>1630000</v>
      </c>
      <c r="F67" s="88">
        <f t="shared" si="25"/>
        <v>0</v>
      </c>
      <c r="G67" s="88">
        <v>1630000</v>
      </c>
      <c r="H67" s="88">
        <v>1173307.6000000001</v>
      </c>
      <c r="I67" s="88">
        <v>50981.58</v>
      </c>
      <c r="J67" s="88"/>
      <c r="K67" s="88">
        <f t="shared" si="26"/>
        <v>50981.58</v>
      </c>
      <c r="L67" s="88">
        <f t="shared" si="27"/>
        <v>1224289.1800000002</v>
      </c>
      <c r="M67" s="94">
        <f t="shared" si="35"/>
        <v>405710.81999999983</v>
      </c>
      <c r="N67" s="94"/>
      <c r="O67" s="94">
        <f t="shared" si="28"/>
        <v>0</v>
      </c>
      <c r="P67" s="94">
        <f t="shared" si="29"/>
        <v>405710.81999999983</v>
      </c>
      <c r="Q67" s="94"/>
      <c r="R67" s="94"/>
      <c r="S67" s="94">
        <f t="shared" si="30"/>
        <v>0</v>
      </c>
      <c r="T67" s="94">
        <f t="shared" si="31"/>
        <v>0</v>
      </c>
      <c r="U67" s="94">
        <f t="shared" si="32"/>
        <v>0</v>
      </c>
      <c r="V67" s="88">
        <f t="shared" si="33"/>
        <v>0</v>
      </c>
      <c r="W67" s="88"/>
      <c r="X67" s="88"/>
      <c r="Y67" s="84"/>
      <c r="Z67" s="84">
        <v>742000</v>
      </c>
      <c r="AA67" s="87"/>
    </row>
    <row r="68" spans="1:32" s="95" customFormat="1" x14ac:dyDescent="0.25">
      <c r="A68" s="84">
        <f t="shared" si="34"/>
        <v>60</v>
      </c>
      <c r="B68" s="84">
        <v>1129</v>
      </c>
      <c r="C68" s="84" t="s">
        <v>51</v>
      </c>
      <c r="D68" s="94">
        <v>5500000</v>
      </c>
      <c r="E68" s="88">
        <v>5500000</v>
      </c>
      <c r="F68" s="88">
        <f t="shared" si="25"/>
        <v>0</v>
      </c>
      <c r="G68" s="88">
        <v>5491771</v>
      </c>
      <c r="H68" s="88">
        <v>4552723.2300000004</v>
      </c>
      <c r="I68" s="88">
        <v>597920</v>
      </c>
      <c r="J68" s="88"/>
      <c r="K68" s="88">
        <f t="shared" si="26"/>
        <v>597920</v>
      </c>
      <c r="L68" s="88">
        <f t="shared" si="27"/>
        <v>5150643.2300000004</v>
      </c>
      <c r="M68" s="94">
        <f t="shared" si="35"/>
        <v>341127.76999999955</v>
      </c>
      <c r="N68" s="94"/>
      <c r="O68" s="94">
        <f t="shared" si="28"/>
        <v>8229</v>
      </c>
      <c r="P68" s="94">
        <f t="shared" si="29"/>
        <v>341127.76999999955</v>
      </c>
      <c r="Q68" s="94"/>
      <c r="R68" s="94"/>
      <c r="S68" s="94">
        <f t="shared" si="30"/>
        <v>0</v>
      </c>
      <c r="T68" s="94">
        <f t="shared" si="31"/>
        <v>0</v>
      </c>
      <c r="U68" s="94">
        <f t="shared" si="32"/>
        <v>0</v>
      </c>
      <c r="V68" s="88">
        <f t="shared" si="33"/>
        <v>0</v>
      </c>
      <c r="W68" s="88"/>
      <c r="X68" s="88"/>
      <c r="Y68" s="84"/>
      <c r="Z68" s="84">
        <v>742000</v>
      </c>
      <c r="AA68" s="87"/>
      <c r="AB68" s="87"/>
      <c r="AC68" s="87"/>
      <c r="AD68" s="87"/>
      <c r="AE68" s="87"/>
      <c r="AF68" s="87"/>
    </row>
    <row r="69" spans="1:32" s="92" customFormat="1" x14ac:dyDescent="0.25">
      <c r="A69" s="84">
        <f t="shared" si="34"/>
        <v>61</v>
      </c>
      <c r="B69" s="84">
        <v>1130</v>
      </c>
      <c r="C69" s="84" t="s">
        <v>52</v>
      </c>
      <c r="D69" s="94">
        <v>13881894</v>
      </c>
      <c r="E69" s="88">
        <v>11881894</v>
      </c>
      <c r="F69" s="88">
        <f t="shared" si="25"/>
        <v>2000000</v>
      </c>
      <c r="G69" s="88">
        <v>10881894</v>
      </c>
      <c r="H69" s="88">
        <v>8712093</v>
      </c>
      <c r="I69" s="88">
        <v>1690096</v>
      </c>
      <c r="J69" s="88">
        <v>41184.800000000003</v>
      </c>
      <c r="K69" s="88">
        <f t="shared" si="26"/>
        <v>1731280.8</v>
      </c>
      <c r="L69" s="88">
        <f t="shared" si="27"/>
        <v>10443373.800000001</v>
      </c>
      <c r="M69" s="94">
        <f t="shared" si="35"/>
        <v>438520.19999999925</v>
      </c>
      <c r="N69" s="94">
        <f>3000000-1000000</f>
        <v>2000000</v>
      </c>
      <c r="O69" s="94">
        <f t="shared" si="28"/>
        <v>1000000</v>
      </c>
      <c r="P69" s="94">
        <f t="shared" si="29"/>
        <v>438520.19999999925</v>
      </c>
      <c r="Q69" s="94"/>
      <c r="R69" s="94"/>
      <c r="S69" s="94">
        <f t="shared" si="30"/>
        <v>0</v>
      </c>
      <c r="T69" s="94">
        <f t="shared" si="31"/>
        <v>0</v>
      </c>
      <c r="U69" s="94">
        <f t="shared" si="32"/>
        <v>2000000</v>
      </c>
      <c r="V69" s="88">
        <f t="shared" si="33"/>
        <v>2000000</v>
      </c>
      <c r="W69" s="88"/>
      <c r="X69" s="88"/>
      <c r="Y69" s="84"/>
      <c r="Z69" s="84">
        <v>742000</v>
      </c>
      <c r="AA69" s="206"/>
      <c r="AB69" s="87"/>
      <c r="AC69" s="87"/>
      <c r="AD69" s="87"/>
      <c r="AE69" s="87"/>
      <c r="AF69" s="87"/>
    </row>
    <row r="70" spans="1:32" s="87" customFormat="1" x14ac:dyDescent="0.25">
      <c r="A70" s="84">
        <f t="shared" si="34"/>
        <v>62</v>
      </c>
      <c r="B70" s="84">
        <v>1314</v>
      </c>
      <c r="C70" s="84" t="s">
        <v>77</v>
      </c>
      <c r="D70" s="94">
        <v>3200000</v>
      </c>
      <c r="E70" s="88">
        <v>3200000</v>
      </c>
      <c r="F70" s="88">
        <f t="shared" si="25"/>
        <v>0</v>
      </c>
      <c r="G70" s="88">
        <v>400000</v>
      </c>
      <c r="H70" s="88">
        <v>359314.49</v>
      </c>
      <c r="I70" s="88">
        <v>10008.06</v>
      </c>
      <c r="J70" s="88">
        <v>330</v>
      </c>
      <c r="K70" s="88">
        <f t="shared" si="26"/>
        <v>10338.06</v>
      </c>
      <c r="L70" s="88">
        <f t="shared" si="27"/>
        <v>369652.55</v>
      </c>
      <c r="M70" s="94">
        <f t="shared" si="35"/>
        <v>30347.450000000012</v>
      </c>
      <c r="N70" s="94">
        <v>150000</v>
      </c>
      <c r="O70" s="94">
        <f t="shared" si="28"/>
        <v>2650000</v>
      </c>
      <c r="P70" s="94">
        <f t="shared" si="29"/>
        <v>30347.450000000012</v>
      </c>
      <c r="Q70" s="94"/>
      <c r="R70" s="94"/>
      <c r="S70" s="94">
        <f t="shared" si="30"/>
        <v>0</v>
      </c>
      <c r="T70" s="94">
        <f t="shared" si="31"/>
        <v>0</v>
      </c>
      <c r="U70" s="94">
        <f t="shared" si="32"/>
        <v>150000</v>
      </c>
      <c r="V70" s="88">
        <f t="shared" si="33"/>
        <v>150000</v>
      </c>
      <c r="W70" s="88"/>
      <c r="X70" s="88"/>
      <c r="Y70" s="84"/>
      <c r="Z70" s="84">
        <v>742000</v>
      </c>
    </row>
    <row r="71" spans="1:32" s="87" customFormat="1" x14ac:dyDescent="0.25">
      <c r="A71" s="84">
        <f t="shared" si="34"/>
        <v>63</v>
      </c>
      <c r="B71" s="84">
        <v>1321</v>
      </c>
      <c r="C71" s="93" t="s">
        <v>101</v>
      </c>
      <c r="D71" s="94">
        <f>5150000</f>
        <v>5150000</v>
      </c>
      <c r="E71" s="88">
        <v>5150000</v>
      </c>
      <c r="F71" s="88">
        <f t="shared" si="25"/>
        <v>0</v>
      </c>
      <c r="G71" s="88">
        <v>700000</v>
      </c>
      <c r="H71" s="88">
        <v>691661.02</v>
      </c>
      <c r="I71" s="88">
        <v>7556.01</v>
      </c>
      <c r="J71" s="88"/>
      <c r="K71" s="88">
        <f t="shared" si="26"/>
        <v>7556.01</v>
      </c>
      <c r="L71" s="88">
        <f t="shared" si="27"/>
        <v>699217.03</v>
      </c>
      <c r="M71" s="94">
        <f t="shared" si="35"/>
        <v>782.96999999997206</v>
      </c>
      <c r="N71" s="94"/>
      <c r="O71" s="94">
        <f t="shared" si="28"/>
        <v>4450000</v>
      </c>
      <c r="P71" s="94">
        <f t="shared" si="29"/>
        <v>782.96999999997206</v>
      </c>
      <c r="Q71" s="94"/>
      <c r="R71" s="94"/>
      <c r="S71" s="94">
        <f t="shared" si="30"/>
        <v>0</v>
      </c>
      <c r="T71" s="94">
        <f t="shared" si="31"/>
        <v>0</v>
      </c>
      <c r="U71" s="94">
        <f t="shared" si="32"/>
        <v>0</v>
      </c>
      <c r="V71" s="88">
        <f t="shared" si="33"/>
        <v>0</v>
      </c>
      <c r="W71" s="88"/>
      <c r="X71" s="88"/>
      <c r="Y71" s="84"/>
      <c r="Z71" s="84">
        <v>742000</v>
      </c>
      <c r="AB71" s="92"/>
      <c r="AC71" s="92"/>
      <c r="AD71" s="92"/>
      <c r="AE71" s="92"/>
      <c r="AF71" s="92"/>
    </row>
    <row r="72" spans="1:32" s="95" customFormat="1" x14ac:dyDescent="0.25">
      <c r="A72" s="84">
        <f t="shared" si="34"/>
        <v>64</v>
      </c>
      <c r="B72" s="84">
        <v>1322</v>
      </c>
      <c r="C72" s="84" t="s">
        <v>55</v>
      </c>
      <c r="D72" s="94">
        <v>18500000</v>
      </c>
      <c r="E72" s="88">
        <v>18500000</v>
      </c>
      <c r="F72" s="88">
        <f t="shared" si="25"/>
        <v>0</v>
      </c>
      <c r="G72" s="88">
        <v>11400000</v>
      </c>
      <c r="H72" s="88">
        <v>9585773.5899999999</v>
      </c>
      <c r="I72" s="88">
        <v>47815.65</v>
      </c>
      <c r="J72" s="88">
        <v>1366771.35</v>
      </c>
      <c r="K72" s="88">
        <f t="shared" si="26"/>
        <v>1414587</v>
      </c>
      <c r="L72" s="88">
        <f t="shared" si="27"/>
        <v>11000360.59</v>
      </c>
      <c r="M72" s="94">
        <f t="shared" si="35"/>
        <v>399639.41000000015</v>
      </c>
      <c r="N72" s="94">
        <f>4650000-4650000</f>
        <v>0</v>
      </c>
      <c r="O72" s="94">
        <f t="shared" si="28"/>
        <v>7100000</v>
      </c>
      <c r="P72" s="94">
        <f t="shared" si="29"/>
        <v>399639.41000000015</v>
      </c>
      <c r="Q72" s="94"/>
      <c r="R72" s="94"/>
      <c r="S72" s="94">
        <f t="shared" si="30"/>
        <v>0</v>
      </c>
      <c r="T72" s="94">
        <f t="shared" si="31"/>
        <v>0</v>
      </c>
      <c r="U72" s="94">
        <f t="shared" si="32"/>
        <v>0</v>
      </c>
      <c r="V72" s="88">
        <f t="shared" si="33"/>
        <v>0</v>
      </c>
      <c r="W72" s="88"/>
      <c r="X72" s="88"/>
      <c r="Y72" s="88"/>
      <c r="Z72" s="84">
        <v>742000</v>
      </c>
      <c r="AA72" s="87"/>
      <c r="AB72" s="87"/>
      <c r="AC72" s="87"/>
      <c r="AD72" s="87"/>
      <c r="AE72" s="87"/>
      <c r="AF72" s="87"/>
    </row>
    <row r="73" spans="1:32" s="95" customFormat="1" x14ac:dyDescent="0.25">
      <c r="A73" s="84">
        <f t="shared" si="34"/>
        <v>65</v>
      </c>
      <c r="B73" s="84">
        <v>1324</v>
      </c>
      <c r="C73" s="84" t="s">
        <v>79</v>
      </c>
      <c r="D73" s="94">
        <f>250000</f>
        <v>250000</v>
      </c>
      <c r="E73" s="88">
        <v>250000</v>
      </c>
      <c r="F73" s="88">
        <f t="shared" si="25"/>
        <v>0</v>
      </c>
      <c r="G73" s="88">
        <v>180000</v>
      </c>
      <c r="H73" s="88">
        <v>120629.48</v>
      </c>
      <c r="I73" s="88">
        <v>56544</v>
      </c>
      <c r="J73" s="88"/>
      <c r="K73" s="88">
        <f t="shared" si="26"/>
        <v>56544</v>
      </c>
      <c r="L73" s="88">
        <f t="shared" si="27"/>
        <v>177173.47999999998</v>
      </c>
      <c r="M73" s="94">
        <f t="shared" si="35"/>
        <v>2826.5200000000186</v>
      </c>
      <c r="N73" s="94"/>
      <c r="O73" s="94">
        <f t="shared" si="28"/>
        <v>70000</v>
      </c>
      <c r="P73" s="94">
        <f t="shared" si="29"/>
        <v>2826.5200000000186</v>
      </c>
      <c r="Q73" s="94"/>
      <c r="R73" s="94"/>
      <c r="S73" s="94">
        <f t="shared" si="30"/>
        <v>0</v>
      </c>
      <c r="T73" s="94">
        <f t="shared" si="31"/>
        <v>0</v>
      </c>
      <c r="U73" s="94">
        <f t="shared" si="32"/>
        <v>0</v>
      </c>
      <c r="V73" s="88">
        <f t="shared" si="33"/>
        <v>0</v>
      </c>
      <c r="W73" s="88"/>
      <c r="X73" s="88"/>
      <c r="Y73" s="84"/>
      <c r="Z73" s="84">
        <v>742000</v>
      </c>
      <c r="AA73" s="87"/>
      <c r="AB73" s="92"/>
      <c r="AC73" s="92"/>
      <c r="AD73" s="92"/>
      <c r="AE73" s="92"/>
      <c r="AF73" s="92"/>
    </row>
    <row r="74" spans="1:32" s="95" customFormat="1" x14ac:dyDescent="0.25">
      <c r="A74" s="84">
        <f>A73+1</f>
        <v>66</v>
      </c>
      <c r="B74" s="93">
        <v>1363</v>
      </c>
      <c r="C74" s="93" t="s">
        <v>57</v>
      </c>
      <c r="D74" s="94">
        <v>14000000</v>
      </c>
      <c r="E74" s="94">
        <v>14000000</v>
      </c>
      <c r="F74" s="94">
        <f t="shared" si="25"/>
        <v>0</v>
      </c>
      <c r="G74" s="94">
        <f>1050000+5000000</f>
        <v>6050000</v>
      </c>
      <c r="H74" s="94">
        <v>432923.14</v>
      </c>
      <c r="I74" s="94">
        <v>755174</v>
      </c>
      <c r="J74" s="94"/>
      <c r="K74" s="94">
        <f t="shared" si="26"/>
        <v>755174</v>
      </c>
      <c r="L74" s="94">
        <f t="shared" si="27"/>
        <v>1188097.1400000001</v>
      </c>
      <c r="M74" s="94">
        <f t="shared" si="35"/>
        <v>4861902.8599999994</v>
      </c>
      <c r="N74" s="94">
        <f>3000000-500000+500000</f>
        <v>3000000</v>
      </c>
      <c r="O74" s="94">
        <f t="shared" si="28"/>
        <v>4950000</v>
      </c>
      <c r="P74" s="94">
        <f t="shared" si="29"/>
        <v>4861902.8599999994</v>
      </c>
      <c r="Q74" s="94"/>
      <c r="R74" s="94"/>
      <c r="S74" s="94">
        <f t="shared" si="30"/>
        <v>0</v>
      </c>
      <c r="T74" s="94">
        <f t="shared" si="31"/>
        <v>0</v>
      </c>
      <c r="U74" s="94">
        <f t="shared" si="32"/>
        <v>3000000</v>
      </c>
      <c r="V74" s="94">
        <f t="shared" si="33"/>
        <v>3000000</v>
      </c>
      <c r="W74" s="94"/>
      <c r="X74" s="94"/>
      <c r="Y74" s="94"/>
      <c r="Z74" s="93">
        <v>742000</v>
      </c>
      <c r="AB74" s="97"/>
      <c r="AC74" s="97"/>
      <c r="AD74" s="97"/>
      <c r="AE74" s="97"/>
      <c r="AF74" s="97"/>
    </row>
    <row r="75" spans="1:32" s="87" customFormat="1" x14ac:dyDescent="0.25">
      <c r="A75" s="84">
        <f t="shared" si="34"/>
        <v>67</v>
      </c>
      <c r="B75" s="84">
        <v>1365</v>
      </c>
      <c r="C75" s="84" t="s">
        <v>81</v>
      </c>
      <c r="D75" s="94">
        <f>550000-30000</f>
        <v>520000</v>
      </c>
      <c r="E75" s="88">
        <v>550000</v>
      </c>
      <c r="F75" s="88">
        <f t="shared" si="25"/>
        <v>-30000</v>
      </c>
      <c r="G75" s="88">
        <v>520000</v>
      </c>
      <c r="H75" s="88">
        <v>474012.55</v>
      </c>
      <c r="I75" s="88"/>
      <c r="J75" s="88">
        <v>40864.269999999997</v>
      </c>
      <c r="K75" s="88">
        <f t="shared" si="26"/>
        <v>40864.269999999997</v>
      </c>
      <c r="L75" s="88">
        <f t="shared" si="27"/>
        <v>514876.82</v>
      </c>
      <c r="M75" s="94">
        <f t="shared" si="35"/>
        <v>5123.179999999993</v>
      </c>
      <c r="N75" s="94"/>
      <c r="O75" s="94">
        <f t="shared" si="28"/>
        <v>0</v>
      </c>
      <c r="P75" s="94">
        <f t="shared" si="29"/>
        <v>5123.179999999993</v>
      </c>
      <c r="Q75" s="94"/>
      <c r="R75" s="94"/>
      <c r="S75" s="94">
        <f t="shared" si="30"/>
        <v>0</v>
      </c>
      <c r="T75" s="94">
        <f t="shared" si="31"/>
        <v>0</v>
      </c>
      <c r="U75" s="94">
        <f t="shared" si="32"/>
        <v>0</v>
      </c>
      <c r="V75" s="88">
        <f t="shared" si="33"/>
        <v>0</v>
      </c>
      <c r="W75" s="88"/>
      <c r="X75" s="88"/>
      <c r="Y75" s="84"/>
      <c r="Z75" s="84">
        <v>742000</v>
      </c>
    </row>
    <row r="76" spans="1:32" s="92" customFormat="1" x14ac:dyDescent="0.25">
      <c r="A76" s="84">
        <f t="shared" si="34"/>
        <v>68</v>
      </c>
      <c r="B76" s="84">
        <v>1366</v>
      </c>
      <c r="C76" s="84" t="s">
        <v>58</v>
      </c>
      <c r="D76" s="94">
        <v>1500000</v>
      </c>
      <c r="E76" s="88">
        <v>1500000</v>
      </c>
      <c r="F76" s="88">
        <f t="shared" si="25"/>
        <v>0</v>
      </c>
      <c r="G76" s="88">
        <v>1150000</v>
      </c>
      <c r="H76" s="88">
        <v>681999.52</v>
      </c>
      <c r="I76" s="88">
        <v>135655</v>
      </c>
      <c r="J76" s="88"/>
      <c r="K76" s="88">
        <f t="shared" si="26"/>
        <v>135655</v>
      </c>
      <c r="L76" s="88">
        <f t="shared" si="27"/>
        <v>817654.52</v>
      </c>
      <c r="M76" s="94">
        <f>P76+S76-200000</f>
        <v>132345.47999999998</v>
      </c>
      <c r="N76" s="94"/>
      <c r="O76" s="94">
        <f t="shared" si="28"/>
        <v>550000</v>
      </c>
      <c r="P76" s="94">
        <f t="shared" si="29"/>
        <v>332345.48</v>
      </c>
      <c r="Q76" s="94"/>
      <c r="R76" s="94"/>
      <c r="S76" s="94">
        <f t="shared" si="30"/>
        <v>0</v>
      </c>
      <c r="T76" s="94">
        <f t="shared" si="31"/>
        <v>200000</v>
      </c>
      <c r="U76" s="94">
        <f t="shared" si="32"/>
        <v>-200000</v>
      </c>
      <c r="V76" s="88">
        <f t="shared" si="33"/>
        <v>-200000</v>
      </c>
      <c r="W76" s="88"/>
      <c r="X76" s="88"/>
      <c r="Y76" s="88"/>
      <c r="Z76" s="84">
        <v>742000</v>
      </c>
      <c r="AA76" s="87"/>
      <c r="AB76" s="87"/>
      <c r="AC76" s="87"/>
      <c r="AD76" s="87"/>
      <c r="AE76" s="87"/>
      <c r="AF76" s="87"/>
    </row>
    <row r="77" spans="1:32" s="87" customFormat="1" x14ac:dyDescent="0.25">
      <c r="A77" s="84">
        <f t="shared" si="34"/>
        <v>69</v>
      </c>
      <c r="B77" s="84">
        <v>1457</v>
      </c>
      <c r="C77" s="84" t="s">
        <v>501</v>
      </c>
      <c r="D77" s="94">
        <v>1100000</v>
      </c>
      <c r="E77" s="88">
        <v>1100000</v>
      </c>
      <c r="F77" s="88">
        <f t="shared" si="25"/>
        <v>0</v>
      </c>
      <c r="G77" s="88">
        <v>430000</v>
      </c>
      <c r="H77" s="88">
        <v>137719.09</v>
      </c>
      <c r="I77" s="88">
        <v>34718.01</v>
      </c>
      <c r="J77" s="88"/>
      <c r="K77" s="88">
        <f t="shared" si="26"/>
        <v>34718.01</v>
      </c>
      <c r="L77" s="88">
        <f t="shared" si="27"/>
        <v>172437.1</v>
      </c>
      <c r="M77" s="94">
        <f>P77+S77-200000</f>
        <v>57562.899999999994</v>
      </c>
      <c r="N77" s="94">
        <v>500000</v>
      </c>
      <c r="O77" s="94">
        <f t="shared" si="28"/>
        <v>370000</v>
      </c>
      <c r="P77" s="94">
        <f t="shared" si="29"/>
        <v>257562.9</v>
      </c>
      <c r="Q77" s="94"/>
      <c r="R77" s="94"/>
      <c r="S77" s="94">
        <f t="shared" si="30"/>
        <v>0</v>
      </c>
      <c r="T77" s="94">
        <f t="shared" si="31"/>
        <v>200000</v>
      </c>
      <c r="U77" s="94">
        <f t="shared" si="32"/>
        <v>300000</v>
      </c>
      <c r="V77" s="88">
        <f t="shared" si="33"/>
        <v>-200000</v>
      </c>
      <c r="W77" s="88"/>
      <c r="X77" s="88"/>
      <c r="Y77" s="88">
        <v>500000</v>
      </c>
      <c r="Z77" s="84">
        <v>742000</v>
      </c>
    </row>
    <row r="78" spans="1:32" s="87" customFormat="1" x14ac:dyDescent="0.25">
      <c r="A78" s="84">
        <f t="shared" si="34"/>
        <v>70</v>
      </c>
      <c r="B78" s="84">
        <v>1503</v>
      </c>
      <c r="C78" s="84" t="s">
        <v>84</v>
      </c>
      <c r="D78" s="94">
        <v>2000000</v>
      </c>
      <c r="E78" s="88">
        <v>2000000</v>
      </c>
      <c r="F78" s="88">
        <f t="shared" si="25"/>
        <v>0</v>
      </c>
      <c r="G78" s="88">
        <v>180000</v>
      </c>
      <c r="H78" s="88">
        <v>94507.23</v>
      </c>
      <c r="I78" s="88">
        <v>15734.55</v>
      </c>
      <c r="J78" s="88"/>
      <c r="K78" s="88">
        <f t="shared" si="26"/>
        <v>15734.55</v>
      </c>
      <c r="L78" s="88">
        <f t="shared" si="27"/>
        <v>110241.78</v>
      </c>
      <c r="M78" s="94">
        <f>P78+S78</f>
        <v>69758.22</v>
      </c>
      <c r="N78" s="94"/>
      <c r="O78" s="94">
        <f t="shared" si="28"/>
        <v>1820000</v>
      </c>
      <c r="P78" s="94">
        <f t="shared" si="29"/>
        <v>69758.22</v>
      </c>
      <c r="Q78" s="94"/>
      <c r="R78" s="94"/>
      <c r="S78" s="94">
        <f t="shared" si="30"/>
        <v>0</v>
      </c>
      <c r="T78" s="94">
        <f t="shared" si="31"/>
        <v>0</v>
      </c>
      <c r="U78" s="94">
        <f t="shared" si="32"/>
        <v>0</v>
      </c>
      <c r="V78" s="88">
        <f t="shared" si="33"/>
        <v>0</v>
      </c>
      <c r="W78" s="88"/>
      <c r="X78" s="88"/>
      <c r="Y78" s="84"/>
      <c r="Z78" s="84">
        <v>742000</v>
      </c>
    </row>
    <row r="79" spans="1:32" s="87" customFormat="1" ht="15.6" x14ac:dyDescent="0.25">
      <c r="A79" s="84">
        <f t="shared" si="34"/>
        <v>71</v>
      </c>
      <c r="B79" s="84">
        <v>1511</v>
      </c>
      <c r="C79" s="35" t="s">
        <v>60</v>
      </c>
      <c r="D79" s="94">
        <v>960000</v>
      </c>
      <c r="E79" s="88">
        <v>960000</v>
      </c>
      <c r="F79" s="88">
        <f t="shared" si="25"/>
        <v>0</v>
      </c>
      <c r="G79" s="88">
        <v>100000</v>
      </c>
      <c r="H79" s="88">
        <v>17284</v>
      </c>
      <c r="I79" s="88">
        <v>4321</v>
      </c>
      <c r="J79" s="88"/>
      <c r="K79" s="88">
        <f t="shared" si="26"/>
        <v>4321</v>
      </c>
      <c r="L79" s="88">
        <f t="shared" si="27"/>
        <v>21605</v>
      </c>
      <c r="M79" s="94">
        <f>P79+S79</f>
        <v>78395</v>
      </c>
      <c r="N79" s="94"/>
      <c r="O79" s="94">
        <f t="shared" si="28"/>
        <v>860000</v>
      </c>
      <c r="P79" s="94">
        <f t="shared" si="29"/>
        <v>78395</v>
      </c>
      <c r="Q79" s="94"/>
      <c r="R79" s="94"/>
      <c r="S79" s="94">
        <f t="shared" si="30"/>
        <v>0</v>
      </c>
      <c r="T79" s="94">
        <f t="shared" si="31"/>
        <v>0</v>
      </c>
      <c r="U79" s="94">
        <f t="shared" si="32"/>
        <v>0</v>
      </c>
      <c r="V79" s="88">
        <f t="shared" si="33"/>
        <v>0</v>
      </c>
      <c r="W79" s="88"/>
      <c r="X79" s="88"/>
      <c r="Y79" s="88"/>
      <c r="Z79" s="84">
        <v>742000</v>
      </c>
    </row>
    <row r="80" spans="1:32" s="87" customFormat="1" x14ac:dyDescent="0.25">
      <c r="A80" s="84">
        <f t="shared" si="34"/>
        <v>72</v>
      </c>
      <c r="B80" s="93">
        <v>1587</v>
      </c>
      <c r="C80" s="93" t="s">
        <v>257</v>
      </c>
      <c r="D80" s="94">
        <v>34200000</v>
      </c>
      <c r="E80" s="94">
        <v>15000000</v>
      </c>
      <c r="F80" s="94">
        <f t="shared" si="25"/>
        <v>19200000</v>
      </c>
      <c r="G80" s="94">
        <v>11000000</v>
      </c>
      <c r="H80" s="94">
        <v>7851483</v>
      </c>
      <c r="I80" s="94">
        <v>153331</v>
      </c>
      <c r="J80" s="94">
        <v>54855</v>
      </c>
      <c r="K80" s="94">
        <f t="shared" si="26"/>
        <v>208186</v>
      </c>
      <c r="L80" s="94">
        <f t="shared" si="27"/>
        <v>8059669</v>
      </c>
      <c r="M80" s="94">
        <f>P80+S80-200000</f>
        <v>2740331</v>
      </c>
      <c r="N80" s="94">
        <f>11600000-3600000-3000000-2000000-3000000</f>
        <v>0</v>
      </c>
      <c r="O80" s="94">
        <f t="shared" si="28"/>
        <v>23400000</v>
      </c>
      <c r="P80" s="94">
        <f t="shared" si="29"/>
        <v>2940331</v>
      </c>
      <c r="Q80" s="94"/>
      <c r="R80" s="94"/>
      <c r="S80" s="94">
        <f t="shared" si="30"/>
        <v>0</v>
      </c>
      <c r="T80" s="94">
        <f t="shared" si="31"/>
        <v>200000</v>
      </c>
      <c r="U80" s="94">
        <f t="shared" si="32"/>
        <v>-200000</v>
      </c>
      <c r="V80" s="94">
        <f t="shared" si="33"/>
        <v>-200000</v>
      </c>
      <c r="W80" s="94"/>
      <c r="X80" s="94"/>
      <c r="Y80" s="93"/>
      <c r="Z80" s="93">
        <v>742000</v>
      </c>
      <c r="AA80" s="95"/>
      <c r="AB80" s="95"/>
      <c r="AC80" s="95"/>
      <c r="AD80" s="95"/>
      <c r="AE80" s="95"/>
      <c r="AF80" s="95"/>
    </row>
    <row r="81" spans="1:32" s="87" customFormat="1" x14ac:dyDescent="0.25">
      <c r="A81" s="84">
        <f>A80+1</f>
        <v>73</v>
      </c>
      <c r="B81" s="84">
        <v>1601</v>
      </c>
      <c r="C81" s="84" t="s">
        <v>62</v>
      </c>
      <c r="D81" s="94">
        <v>700000</v>
      </c>
      <c r="E81" s="88">
        <v>500000</v>
      </c>
      <c r="F81" s="88">
        <f t="shared" si="25"/>
        <v>200000</v>
      </c>
      <c r="G81" s="88">
        <v>500000</v>
      </c>
      <c r="H81" s="88">
        <v>352852</v>
      </c>
      <c r="I81" s="88">
        <v>79587</v>
      </c>
      <c r="J81" s="88"/>
      <c r="K81" s="88">
        <f t="shared" si="26"/>
        <v>79587</v>
      </c>
      <c r="L81" s="88">
        <f t="shared" si="27"/>
        <v>432439</v>
      </c>
      <c r="M81" s="94">
        <f>P81+S81</f>
        <v>67561</v>
      </c>
      <c r="N81" s="94">
        <v>150000</v>
      </c>
      <c r="O81" s="94">
        <f t="shared" si="28"/>
        <v>50000</v>
      </c>
      <c r="P81" s="94">
        <f t="shared" si="29"/>
        <v>67561</v>
      </c>
      <c r="Q81" s="94"/>
      <c r="R81" s="94"/>
      <c r="S81" s="94">
        <f t="shared" si="30"/>
        <v>0</v>
      </c>
      <c r="T81" s="94">
        <f t="shared" si="31"/>
        <v>0</v>
      </c>
      <c r="U81" s="94">
        <f t="shared" si="32"/>
        <v>150000</v>
      </c>
      <c r="V81" s="88">
        <f t="shared" si="33"/>
        <v>150000</v>
      </c>
      <c r="W81" s="88"/>
      <c r="X81" s="88"/>
      <c r="Y81" s="88"/>
      <c r="Z81" s="84">
        <v>742000</v>
      </c>
    </row>
    <row r="82" spans="1:32" s="92" customFormat="1" x14ac:dyDescent="0.25">
      <c r="A82" s="84">
        <f t="shared" si="34"/>
        <v>74</v>
      </c>
      <c r="B82" s="84">
        <v>1602</v>
      </c>
      <c r="C82" s="84" t="s">
        <v>45</v>
      </c>
      <c r="D82" s="94">
        <v>34500000</v>
      </c>
      <c r="E82" s="88">
        <v>30700000</v>
      </c>
      <c r="F82" s="88">
        <f t="shared" si="25"/>
        <v>3800000</v>
      </c>
      <c r="G82" s="88">
        <f>6500000+1582069</f>
        <v>8082069</v>
      </c>
      <c r="H82" s="88">
        <v>214820.57</v>
      </c>
      <c r="I82" s="88">
        <v>327308</v>
      </c>
      <c r="J82" s="88">
        <v>822040</v>
      </c>
      <c r="K82" s="88">
        <f t="shared" si="26"/>
        <v>1149348</v>
      </c>
      <c r="L82" s="88">
        <f t="shared" si="27"/>
        <v>1364168.57</v>
      </c>
      <c r="M82" s="94">
        <f>P82+S82</f>
        <v>12857900.43</v>
      </c>
      <c r="N82" s="94">
        <f>3800000+16477931-1000000+1000000</f>
        <v>20277931</v>
      </c>
      <c r="O82" s="94">
        <f t="shared" si="28"/>
        <v>0</v>
      </c>
      <c r="P82" s="94">
        <f t="shared" si="29"/>
        <v>6717900.4299999997</v>
      </c>
      <c r="Q82" s="94">
        <v>6140000</v>
      </c>
      <c r="R82" s="94"/>
      <c r="S82" s="94">
        <f t="shared" si="30"/>
        <v>6140000</v>
      </c>
      <c r="T82" s="94">
        <f t="shared" si="31"/>
        <v>0</v>
      </c>
      <c r="U82" s="94">
        <f t="shared" si="32"/>
        <v>20277931</v>
      </c>
      <c r="V82" s="88">
        <f t="shared" si="33"/>
        <v>-10240000</v>
      </c>
      <c r="W82" s="88"/>
      <c r="X82" s="88"/>
      <c r="Y82" s="88">
        <f>32100000-1582069</f>
        <v>30517931</v>
      </c>
      <c r="Z82" s="84">
        <v>742000</v>
      </c>
      <c r="AA82" s="87"/>
      <c r="AB82" s="87"/>
      <c r="AC82" s="87"/>
      <c r="AD82" s="87"/>
      <c r="AE82" s="87"/>
      <c r="AF82" s="87"/>
    </row>
    <row r="83" spans="1:32" s="95" customFormat="1" x14ac:dyDescent="0.25">
      <c r="A83" s="84">
        <f t="shared" si="34"/>
        <v>75</v>
      </c>
      <c r="B83" s="84">
        <v>1670</v>
      </c>
      <c r="C83" s="84" t="s">
        <v>258</v>
      </c>
      <c r="D83" s="94">
        <v>12500000</v>
      </c>
      <c r="E83" s="88">
        <v>12500000</v>
      </c>
      <c r="F83" s="88">
        <f t="shared" si="25"/>
        <v>0</v>
      </c>
      <c r="G83" s="88">
        <v>3800000</v>
      </c>
      <c r="H83" s="88">
        <v>74768</v>
      </c>
      <c r="I83" s="88">
        <v>46859.72</v>
      </c>
      <c r="J83" s="88">
        <v>263887.65000000002</v>
      </c>
      <c r="K83" s="88">
        <f t="shared" si="26"/>
        <v>310747.37</v>
      </c>
      <c r="L83" s="88">
        <f t="shared" si="27"/>
        <v>385515.37</v>
      </c>
      <c r="M83" s="94">
        <f>P83+S83</f>
        <v>3414484.63</v>
      </c>
      <c r="N83" s="94"/>
      <c r="O83" s="94">
        <f t="shared" si="28"/>
        <v>8700000</v>
      </c>
      <c r="P83" s="94">
        <f t="shared" si="29"/>
        <v>3414484.63</v>
      </c>
      <c r="Q83" s="94"/>
      <c r="R83" s="94"/>
      <c r="S83" s="94">
        <f t="shared" si="30"/>
        <v>0</v>
      </c>
      <c r="T83" s="94">
        <f t="shared" si="31"/>
        <v>0</v>
      </c>
      <c r="U83" s="94">
        <f t="shared" si="32"/>
        <v>0</v>
      </c>
      <c r="V83" s="88">
        <f t="shared" si="33"/>
        <v>0</v>
      </c>
      <c r="W83" s="88"/>
      <c r="X83" s="88"/>
      <c r="Y83" s="88"/>
      <c r="Z83" s="84">
        <v>742000</v>
      </c>
      <c r="AA83" s="87"/>
      <c r="AB83" s="87"/>
      <c r="AC83" s="87"/>
      <c r="AD83" s="87"/>
      <c r="AE83" s="87"/>
      <c r="AF83" s="87"/>
    </row>
    <row r="84" spans="1:32" s="97" customFormat="1" x14ac:dyDescent="0.25">
      <c r="A84" s="84">
        <f t="shared" si="34"/>
        <v>76</v>
      </c>
      <c r="B84" s="84">
        <v>1719</v>
      </c>
      <c r="C84" s="84" t="s">
        <v>90</v>
      </c>
      <c r="D84" s="94">
        <v>1000000</v>
      </c>
      <c r="E84" s="88">
        <v>1000000</v>
      </c>
      <c r="F84" s="88">
        <f t="shared" si="25"/>
        <v>0</v>
      </c>
      <c r="G84" s="88">
        <v>1000000</v>
      </c>
      <c r="H84" s="88">
        <v>74636.990000000005</v>
      </c>
      <c r="I84" s="88">
        <v>453189.49</v>
      </c>
      <c r="J84" s="88"/>
      <c r="K84" s="88">
        <f t="shared" si="26"/>
        <v>453189.49</v>
      </c>
      <c r="L84" s="88">
        <f t="shared" si="27"/>
        <v>527826.48</v>
      </c>
      <c r="M84" s="94">
        <f>P84+S84</f>
        <v>472173.52</v>
      </c>
      <c r="N84" s="94"/>
      <c r="O84" s="94">
        <f t="shared" si="28"/>
        <v>0</v>
      </c>
      <c r="P84" s="94">
        <f t="shared" si="29"/>
        <v>472173.52</v>
      </c>
      <c r="Q84" s="94"/>
      <c r="R84" s="94"/>
      <c r="S84" s="94">
        <f t="shared" si="30"/>
        <v>0</v>
      </c>
      <c r="T84" s="94">
        <f t="shared" si="31"/>
        <v>0</v>
      </c>
      <c r="U84" s="94">
        <f t="shared" si="32"/>
        <v>0</v>
      </c>
      <c r="V84" s="88">
        <f t="shared" si="33"/>
        <v>0</v>
      </c>
      <c r="W84" s="88"/>
      <c r="X84" s="88"/>
      <c r="Y84" s="84"/>
      <c r="Z84" s="84">
        <v>742000</v>
      </c>
      <c r="AA84" s="87"/>
      <c r="AB84" s="87"/>
      <c r="AC84" s="87"/>
      <c r="AD84" s="87"/>
      <c r="AE84" s="87"/>
      <c r="AF84" s="87"/>
    </row>
    <row r="85" spans="1:32" s="95" customFormat="1" x14ac:dyDescent="0.25">
      <c r="A85" s="84">
        <f t="shared" si="34"/>
        <v>77</v>
      </c>
      <c r="B85" s="84">
        <v>1722</v>
      </c>
      <c r="C85" s="84" t="s">
        <v>65</v>
      </c>
      <c r="D85" s="94">
        <v>2400000</v>
      </c>
      <c r="E85" s="88">
        <v>2400000</v>
      </c>
      <c r="F85" s="88">
        <f t="shared" si="25"/>
        <v>0</v>
      </c>
      <c r="G85" s="88">
        <v>1400000</v>
      </c>
      <c r="H85" s="88">
        <v>70298.399999999994</v>
      </c>
      <c r="I85" s="88">
        <v>72987.72</v>
      </c>
      <c r="J85" s="88">
        <v>67052.7</v>
      </c>
      <c r="K85" s="88">
        <f t="shared" si="26"/>
        <v>140040.41999999998</v>
      </c>
      <c r="L85" s="88">
        <f t="shared" si="27"/>
        <v>210338.81999999998</v>
      </c>
      <c r="M85" s="94">
        <f>P85+S85-1000000</f>
        <v>189661.17999999993</v>
      </c>
      <c r="N85" s="94"/>
      <c r="O85" s="94">
        <f t="shared" si="28"/>
        <v>2000000.0000000002</v>
      </c>
      <c r="P85" s="94">
        <f t="shared" si="29"/>
        <v>1189661.18</v>
      </c>
      <c r="Q85" s="94"/>
      <c r="R85" s="94"/>
      <c r="S85" s="94">
        <f t="shared" si="30"/>
        <v>0</v>
      </c>
      <c r="T85" s="94">
        <f t="shared" si="31"/>
        <v>1000000</v>
      </c>
      <c r="U85" s="94">
        <f t="shared" si="32"/>
        <v>-1000000</v>
      </c>
      <c r="V85" s="88">
        <f t="shared" si="33"/>
        <v>-1000000</v>
      </c>
      <c r="W85" s="88"/>
      <c r="X85" s="88"/>
      <c r="Y85" s="84"/>
      <c r="Z85" s="84">
        <v>742000</v>
      </c>
      <c r="AA85" s="87"/>
      <c r="AB85" s="87"/>
      <c r="AC85" s="87"/>
      <c r="AD85" s="87"/>
      <c r="AE85" s="87"/>
      <c r="AF85" s="87"/>
    </row>
    <row r="86" spans="1:32" s="95" customFormat="1" x14ac:dyDescent="0.25">
      <c r="A86" s="84">
        <f t="shared" si="34"/>
        <v>78</v>
      </c>
      <c r="B86" s="84">
        <v>1725</v>
      </c>
      <c r="C86" s="84" t="s">
        <v>66</v>
      </c>
      <c r="D86" s="94">
        <v>13700000</v>
      </c>
      <c r="E86" s="88">
        <v>13700000</v>
      </c>
      <c r="F86" s="88">
        <f t="shared" si="25"/>
        <v>0</v>
      </c>
      <c r="G86" s="88">
        <v>13700000</v>
      </c>
      <c r="H86" s="88">
        <v>11935672.32</v>
      </c>
      <c r="I86" s="88">
        <v>275276.74</v>
      </c>
      <c r="J86" s="88">
        <v>186978.79</v>
      </c>
      <c r="K86" s="88">
        <f t="shared" si="26"/>
        <v>462255.53</v>
      </c>
      <c r="L86" s="88">
        <f t="shared" si="27"/>
        <v>12397927.85</v>
      </c>
      <c r="M86" s="94">
        <f t="shared" ref="M86:M96" si="36">P86+S86</f>
        <v>1302072.1500000004</v>
      </c>
      <c r="N86" s="94"/>
      <c r="O86" s="94">
        <f t="shared" si="28"/>
        <v>0</v>
      </c>
      <c r="P86" s="94">
        <f t="shared" si="29"/>
        <v>1302072.1500000004</v>
      </c>
      <c r="Q86" s="94"/>
      <c r="R86" s="94"/>
      <c r="S86" s="94">
        <f t="shared" si="30"/>
        <v>0</v>
      </c>
      <c r="T86" s="94">
        <f t="shared" si="31"/>
        <v>0</v>
      </c>
      <c r="U86" s="94">
        <f t="shared" si="32"/>
        <v>0</v>
      </c>
      <c r="V86" s="88">
        <f t="shared" si="33"/>
        <v>0</v>
      </c>
      <c r="W86" s="88"/>
      <c r="X86" s="88"/>
      <c r="Y86" s="84"/>
      <c r="Z86" s="84">
        <v>742000</v>
      </c>
      <c r="AA86" s="87"/>
      <c r="AB86" s="87"/>
      <c r="AC86" s="87"/>
      <c r="AD86" s="87"/>
      <c r="AE86" s="87"/>
      <c r="AF86" s="87"/>
    </row>
    <row r="87" spans="1:32" s="95" customFormat="1" x14ac:dyDescent="0.25">
      <c r="A87" s="84">
        <f>A86+1</f>
        <v>79</v>
      </c>
      <c r="B87" s="84">
        <v>1743</v>
      </c>
      <c r="C87" s="84" t="s">
        <v>260</v>
      </c>
      <c r="D87" s="94">
        <v>200000</v>
      </c>
      <c r="E87" s="88">
        <v>200000</v>
      </c>
      <c r="F87" s="88">
        <f t="shared" si="25"/>
        <v>0</v>
      </c>
      <c r="G87" s="88">
        <v>200000</v>
      </c>
      <c r="H87" s="231">
        <v>173730</v>
      </c>
      <c r="I87" s="88">
        <v>16068.53</v>
      </c>
      <c r="J87" s="88"/>
      <c r="K87" s="88">
        <f t="shared" si="26"/>
        <v>16068.53</v>
      </c>
      <c r="L87" s="88">
        <f t="shared" si="27"/>
        <v>189798.53</v>
      </c>
      <c r="M87" s="94">
        <f t="shared" si="36"/>
        <v>10201.470000000001</v>
      </c>
      <c r="N87" s="94"/>
      <c r="O87" s="94">
        <f t="shared" si="28"/>
        <v>0</v>
      </c>
      <c r="P87" s="94">
        <f t="shared" si="29"/>
        <v>10201.470000000001</v>
      </c>
      <c r="Q87" s="94"/>
      <c r="R87" s="94"/>
      <c r="S87" s="94">
        <f t="shared" si="30"/>
        <v>0</v>
      </c>
      <c r="T87" s="94">
        <f t="shared" si="31"/>
        <v>0</v>
      </c>
      <c r="U87" s="94">
        <f t="shared" si="32"/>
        <v>0</v>
      </c>
      <c r="V87" s="88">
        <f t="shared" si="33"/>
        <v>0</v>
      </c>
      <c r="W87" s="88"/>
      <c r="X87" s="88"/>
      <c r="Y87" s="84"/>
      <c r="Z87" s="84">
        <v>742000</v>
      </c>
      <c r="AA87" s="87"/>
      <c r="AB87" s="92"/>
      <c r="AC87" s="92"/>
      <c r="AD87" s="92"/>
      <c r="AE87" s="92"/>
      <c r="AF87" s="92"/>
    </row>
    <row r="88" spans="1:32" s="95" customFormat="1" x14ac:dyDescent="0.25">
      <c r="A88" s="84">
        <f t="shared" si="34"/>
        <v>80</v>
      </c>
      <c r="B88" s="84">
        <v>1744</v>
      </c>
      <c r="C88" s="84" t="s">
        <v>68</v>
      </c>
      <c r="D88" s="94">
        <v>13000000</v>
      </c>
      <c r="E88" s="88">
        <v>13000000</v>
      </c>
      <c r="F88" s="88">
        <f t="shared" si="25"/>
        <v>0</v>
      </c>
      <c r="G88" s="88">
        <v>1000000</v>
      </c>
      <c r="H88" s="88">
        <v>0</v>
      </c>
      <c r="I88" s="88"/>
      <c r="J88" s="88"/>
      <c r="K88" s="88">
        <f t="shared" si="26"/>
        <v>0</v>
      </c>
      <c r="L88" s="88">
        <f t="shared" si="27"/>
        <v>0</v>
      </c>
      <c r="M88" s="94">
        <f t="shared" si="36"/>
        <v>7200000</v>
      </c>
      <c r="N88" s="94"/>
      <c r="O88" s="94">
        <f t="shared" si="28"/>
        <v>5800000</v>
      </c>
      <c r="P88" s="94">
        <f t="shared" si="29"/>
        <v>1000000</v>
      </c>
      <c r="Q88" s="94"/>
      <c r="R88" s="94">
        <v>6200000</v>
      </c>
      <c r="S88" s="94">
        <f t="shared" si="30"/>
        <v>6200000</v>
      </c>
      <c r="T88" s="94">
        <f t="shared" si="31"/>
        <v>0</v>
      </c>
      <c r="U88" s="94">
        <f t="shared" si="32"/>
        <v>0</v>
      </c>
      <c r="V88" s="88">
        <f t="shared" si="33"/>
        <v>0</v>
      </c>
      <c r="W88" s="88"/>
      <c r="X88" s="88"/>
      <c r="Y88" s="84"/>
      <c r="Z88" s="84">
        <v>742000</v>
      </c>
      <c r="AA88" s="87"/>
      <c r="AB88" s="87"/>
      <c r="AC88" s="87"/>
      <c r="AD88" s="87"/>
      <c r="AE88" s="87"/>
      <c r="AF88" s="87"/>
    </row>
    <row r="89" spans="1:32" s="95" customFormat="1" x14ac:dyDescent="0.25">
      <c r="A89" s="84">
        <f t="shared" si="34"/>
        <v>81</v>
      </c>
      <c r="B89" s="93">
        <v>1746</v>
      </c>
      <c r="C89" s="93" t="s">
        <v>47</v>
      </c>
      <c r="D89" s="94">
        <v>55000000</v>
      </c>
      <c r="E89" s="94">
        <v>8000000</v>
      </c>
      <c r="F89" s="94">
        <f t="shared" si="25"/>
        <v>47000000</v>
      </c>
      <c r="G89" s="94">
        <v>0</v>
      </c>
      <c r="H89" s="94">
        <v>0</v>
      </c>
      <c r="I89" s="94"/>
      <c r="J89" s="94"/>
      <c r="K89" s="94">
        <f t="shared" si="26"/>
        <v>0</v>
      </c>
      <c r="L89" s="94">
        <f t="shared" si="27"/>
        <v>0</v>
      </c>
      <c r="M89" s="94">
        <f t="shared" si="36"/>
        <v>0</v>
      </c>
      <c r="N89" s="94"/>
      <c r="O89" s="94">
        <f t="shared" si="28"/>
        <v>55000000</v>
      </c>
      <c r="P89" s="94">
        <f t="shared" si="29"/>
        <v>0</v>
      </c>
      <c r="Q89" s="94"/>
      <c r="R89" s="94"/>
      <c r="S89" s="94">
        <f t="shared" si="30"/>
        <v>0</v>
      </c>
      <c r="T89" s="94">
        <f t="shared" si="31"/>
        <v>0</v>
      </c>
      <c r="U89" s="94">
        <f t="shared" si="32"/>
        <v>0</v>
      </c>
      <c r="V89" s="94">
        <f t="shared" si="33"/>
        <v>0</v>
      </c>
      <c r="W89" s="94"/>
      <c r="X89" s="94"/>
      <c r="Y89" s="94"/>
      <c r="Z89" s="93">
        <v>742000</v>
      </c>
    </row>
    <row r="90" spans="1:32" s="95" customFormat="1" x14ac:dyDescent="0.25">
      <c r="A90" s="84">
        <f t="shared" si="34"/>
        <v>82</v>
      </c>
      <c r="B90" s="84">
        <v>1754</v>
      </c>
      <c r="C90" s="84" t="s">
        <v>36</v>
      </c>
      <c r="D90" s="94">
        <v>300000</v>
      </c>
      <c r="E90" s="88">
        <v>300000</v>
      </c>
      <c r="F90" s="94">
        <f t="shared" si="25"/>
        <v>0</v>
      </c>
      <c r="G90" s="88">
        <v>300000</v>
      </c>
      <c r="H90" s="88">
        <v>0</v>
      </c>
      <c r="I90" s="88"/>
      <c r="J90" s="88"/>
      <c r="K90" s="88">
        <f t="shared" si="26"/>
        <v>0</v>
      </c>
      <c r="L90" s="88">
        <f t="shared" si="27"/>
        <v>0</v>
      </c>
      <c r="M90" s="94">
        <f t="shared" si="36"/>
        <v>300000</v>
      </c>
      <c r="N90" s="94"/>
      <c r="O90" s="94">
        <f t="shared" si="28"/>
        <v>0</v>
      </c>
      <c r="P90" s="94">
        <f t="shared" si="29"/>
        <v>300000</v>
      </c>
      <c r="Q90" s="94"/>
      <c r="R90" s="94"/>
      <c r="S90" s="94">
        <f t="shared" si="30"/>
        <v>0</v>
      </c>
      <c r="T90" s="94">
        <f t="shared" si="31"/>
        <v>0</v>
      </c>
      <c r="U90" s="94">
        <f t="shared" si="32"/>
        <v>0</v>
      </c>
      <c r="V90" s="88">
        <f t="shared" si="33"/>
        <v>0</v>
      </c>
      <c r="W90" s="88"/>
      <c r="X90" s="88"/>
      <c r="Y90" s="84"/>
      <c r="Z90" s="84">
        <v>742000</v>
      </c>
      <c r="AA90" s="87"/>
      <c r="AB90" s="87"/>
      <c r="AC90" s="87"/>
      <c r="AD90" s="87"/>
      <c r="AE90" s="87"/>
      <c r="AF90" s="87"/>
    </row>
    <row r="91" spans="1:32" s="95" customFormat="1" x14ac:dyDescent="0.25">
      <c r="A91" s="84">
        <f t="shared" si="34"/>
        <v>83</v>
      </c>
      <c r="B91" s="84">
        <v>1804</v>
      </c>
      <c r="C91" s="84" t="s">
        <v>282</v>
      </c>
      <c r="D91" s="94">
        <v>200000</v>
      </c>
      <c r="E91" s="88">
        <v>200000</v>
      </c>
      <c r="F91" s="88">
        <f t="shared" si="25"/>
        <v>0</v>
      </c>
      <c r="G91" s="88">
        <v>200000</v>
      </c>
      <c r="H91" s="88">
        <v>0</v>
      </c>
      <c r="I91" s="88"/>
      <c r="J91" s="88"/>
      <c r="K91" s="88">
        <f t="shared" si="26"/>
        <v>0</v>
      </c>
      <c r="L91" s="88">
        <f t="shared" si="27"/>
        <v>0</v>
      </c>
      <c r="M91" s="94">
        <f t="shared" si="36"/>
        <v>200000</v>
      </c>
      <c r="N91" s="94"/>
      <c r="O91" s="94">
        <f t="shared" si="28"/>
        <v>0</v>
      </c>
      <c r="P91" s="94">
        <f t="shared" si="29"/>
        <v>200000</v>
      </c>
      <c r="Q91" s="94"/>
      <c r="R91" s="94"/>
      <c r="S91" s="94">
        <f t="shared" si="30"/>
        <v>0</v>
      </c>
      <c r="T91" s="94">
        <f t="shared" si="31"/>
        <v>0</v>
      </c>
      <c r="U91" s="94">
        <f t="shared" si="32"/>
        <v>0</v>
      </c>
      <c r="V91" s="88">
        <f t="shared" si="33"/>
        <v>0</v>
      </c>
      <c r="W91" s="88"/>
      <c r="X91" s="88"/>
      <c r="Y91" s="84"/>
      <c r="Z91" s="84">
        <v>742000</v>
      </c>
      <c r="AA91" s="87"/>
      <c r="AB91" s="87"/>
      <c r="AC91" s="87"/>
      <c r="AD91" s="87"/>
      <c r="AE91" s="87"/>
      <c r="AF91" s="87"/>
    </row>
    <row r="92" spans="1:32" s="95" customFormat="1" x14ac:dyDescent="0.25">
      <c r="A92" s="84">
        <f t="shared" si="34"/>
        <v>84</v>
      </c>
      <c r="B92" s="84">
        <v>1805</v>
      </c>
      <c r="C92" s="84" t="s">
        <v>283</v>
      </c>
      <c r="D92" s="94">
        <v>1000000</v>
      </c>
      <c r="E92" s="88">
        <v>1000000</v>
      </c>
      <c r="F92" s="94">
        <f t="shared" si="25"/>
        <v>0</v>
      </c>
      <c r="G92" s="88">
        <v>1000000</v>
      </c>
      <c r="H92" s="88">
        <v>0</v>
      </c>
      <c r="I92" s="88">
        <v>2676.96</v>
      </c>
      <c r="J92" s="88"/>
      <c r="K92" s="88">
        <f t="shared" si="26"/>
        <v>2676.96</v>
      </c>
      <c r="L92" s="88">
        <f t="shared" si="27"/>
        <v>2676.96</v>
      </c>
      <c r="M92" s="94">
        <f t="shared" si="36"/>
        <v>997323.04</v>
      </c>
      <c r="N92" s="94"/>
      <c r="O92" s="94">
        <f t="shared" si="28"/>
        <v>0</v>
      </c>
      <c r="P92" s="94">
        <f t="shared" si="29"/>
        <v>997323.04</v>
      </c>
      <c r="Q92" s="94"/>
      <c r="R92" s="94"/>
      <c r="S92" s="94">
        <f t="shared" si="30"/>
        <v>0</v>
      </c>
      <c r="T92" s="94">
        <f t="shared" si="31"/>
        <v>0</v>
      </c>
      <c r="U92" s="94">
        <f t="shared" si="32"/>
        <v>0</v>
      </c>
      <c r="V92" s="88">
        <f t="shared" si="33"/>
        <v>0</v>
      </c>
      <c r="W92" s="88"/>
      <c r="X92" s="88"/>
      <c r="Y92" s="88"/>
      <c r="Z92" s="84">
        <v>742000</v>
      </c>
      <c r="AA92" s="87"/>
      <c r="AB92" s="87"/>
      <c r="AC92" s="87"/>
      <c r="AD92" s="87"/>
      <c r="AE92" s="87"/>
      <c r="AF92" s="87"/>
    </row>
    <row r="93" spans="1:32" s="95" customFormat="1" x14ac:dyDescent="0.25">
      <c r="A93" s="84">
        <f>A92+1</f>
        <v>85</v>
      </c>
      <c r="B93" s="84">
        <v>1814</v>
      </c>
      <c r="C93" s="84" t="s">
        <v>286</v>
      </c>
      <c r="D93" s="94">
        <v>250000</v>
      </c>
      <c r="E93" s="88">
        <v>250000</v>
      </c>
      <c r="F93" s="94">
        <f t="shared" si="25"/>
        <v>0</v>
      </c>
      <c r="G93" s="88">
        <v>250000</v>
      </c>
      <c r="H93" s="88">
        <v>0</v>
      </c>
      <c r="I93" s="88"/>
      <c r="J93" s="88"/>
      <c r="K93" s="88">
        <f t="shared" si="26"/>
        <v>0</v>
      </c>
      <c r="L93" s="88">
        <f t="shared" si="27"/>
        <v>0</v>
      </c>
      <c r="M93" s="94">
        <f t="shared" si="36"/>
        <v>250000</v>
      </c>
      <c r="N93" s="94"/>
      <c r="O93" s="94">
        <f t="shared" si="28"/>
        <v>0</v>
      </c>
      <c r="P93" s="94">
        <f t="shared" si="29"/>
        <v>250000</v>
      </c>
      <c r="Q93" s="94"/>
      <c r="R93" s="94"/>
      <c r="S93" s="94">
        <f t="shared" si="30"/>
        <v>0</v>
      </c>
      <c r="T93" s="94">
        <f t="shared" si="31"/>
        <v>0</v>
      </c>
      <c r="U93" s="94">
        <f t="shared" si="32"/>
        <v>0</v>
      </c>
      <c r="V93" s="88">
        <f t="shared" si="33"/>
        <v>0</v>
      </c>
      <c r="W93" s="88"/>
      <c r="X93" s="88"/>
      <c r="Y93" s="84"/>
      <c r="Z93" s="84">
        <v>742000</v>
      </c>
      <c r="AA93" s="87"/>
      <c r="AB93" s="92"/>
      <c r="AC93" s="92"/>
      <c r="AD93" s="92"/>
      <c r="AE93" s="92"/>
      <c r="AF93" s="92"/>
    </row>
    <row r="94" spans="1:32" s="95" customFormat="1" x14ac:dyDescent="0.25">
      <c r="A94" s="84">
        <f t="shared" si="34"/>
        <v>86</v>
      </c>
      <c r="B94" s="84">
        <v>1820</v>
      </c>
      <c r="C94" s="84" t="s">
        <v>324</v>
      </c>
      <c r="D94" s="94">
        <f>200000+1800000</f>
        <v>2000000</v>
      </c>
      <c r="E94" s="88">
        <v>200000</v>
      </c>
      <c r="F94" s="94">
        <f t="shared" si="25"/>
        <v>1800000</v>
      </c>
      <c r="G94" s="88">
        <v>200000</v>
      </c>
      <c r="H94" s="88">
        <v>0</v>
      </c>
      <c r="I94" s="88"/>
      <c r="J94" s="88"/>
      <c r="K94" s="88">
        <f t="shared" si="26"/>
        <v>0</v>
      </c>
      <c r="L94" s="88">
        <f t="shared" si="27"/>
        <v>0</v>
      </c>
      <c r="M94" s="94">
        <f t="shared" si="36"/>
        <v>200000</v>
      </c>
      <c r="N94" s="94"/>
      <c r="O94" s="94">
        <f t="shared" si="28"/>
        <v>1800000</v>
      </c>
      <c r="P94" s="94">
        <f t="shared" si="29"/>
        <v>200000</v>
      </c>
      <c r="Q94" s="94"/>
      <c r="R94" s="94"/>
      <c r="S94" s="94">
        <f t="shared" si="30"/>
        <v>0</v>
      </c>
      <c r="T94" s="94">
        <f t="shared" si="31"/>
        <v>0</v>
      </c>
      <c r="U94" s="94">
        <f t="shared" si="32"/>
        <v>0</v>
      </c>
      <c r="V94" s="88">
        <f t="shared" si="33"/>
        <v>0</v>
      </c>
      <c r="W94" s="88"/>
      <c r="X94" s="88"/>
      <c r="Y94" s="84"/>
      <c r="Z94" s="84">
        <v>742000</v>
      </c>
      <c r="AA94" s="87"/>
      <c r="AB94" s="87"/>
      <c r="AC94" s="87"/>
      <c r="AD94" s="87"/>
      <c r="AE94" s="87"/>
      <c r="AF94" s="87"/>
    </row>
    <row r="95" spans="1:32" s="95" customFormat="1" x14ac:dyDescent="0.25">
      <c r="A95" s="84">
        <f t="shared" si="34"/>
        <v>87</v>
      </c>
      <c r="B95" s="84">
        <v>1826</v>
      </c>
      <c r="C95" s="84" t="s">
        <v>306</v>
      </c>
      <c r="D95" s="94">
        <v>1500000</v>
      </c>
      <c r="E95" s="88">
        <v>1500000</v>
      </c>
      <c r="F95" s="88"/>
      <c r="G95" s="88">
        <v>200000</v>
      </c>
      <c r="H95" s="88">
        <v>0</v>
      </c>
      <c r="I95" s="88">
        <v>11756.75</v>
      </c>
      <c r="J95" s="88"/>
      <c r="K95" s="88">
        <f t="shared" si="26"/>
        <v>11756.75</v>
      </c>
      <c r="L95" s="88">
        <f t="shared" si="27"/>
        <v>11756.75</v>
      </c>
      <c r="M95" s="94">
        <f t="shared" si="36"/>
        <v>188243.25</v>
      </c>
      <c r="N95" s="94"/>
      <c r="O95" s="94">
        <f t="shared" si="28"/>
        <v>1300000</v>
      </c>
      <c r="P95" s="94">
        <f t="shared" si="29"/>
        <v>188243.25</v>
      </c>
      <c r="Q95" s="94"/>
      <c r="R95" s="94"/>
      <c r="S95" s="94">
        <f t="shared" si="30"/>
        <v>0</v>
      </c>
      <c r="T95" s="94">
        <f t="shared" si="31"/>
        <v>0</v>
      </c>
      <c r="U95" s="94">
        <f t="shared" si="32"/>
        <v>0</v>
      </c>
      <c r="V95" s="88">
        <f t="shared" si="33"/>
        <v>0</v>
      </c>
      <c r="W95" s="88"/>
      <c r="X95" s="88"/>
      <c r="Y95" s="84"/>
      <c r="Z95" s="84">
        <v>742000</v>
      </c>
      <c r="AA95" s="87"/>
      <c r="AB95" s="92"/>
      <c r="AC95" s="92"/>
      <c r="AD95" s="92"/>
      <c r="AE95" s="92"/>
      <c r="AF95" s="92"/>
    </row>
    <row r="96" spans="1:32" s="95" customFormat="1" x14ac:dyDescent="0.25">
      <c r="A96" s="84">
        <f t="shared" si="34"/>
        <v>88</v>
      </c>
      <c r="B96" s="84">
        <v>1872</v>
      </c>
      <c r="C96" s="84" t="s">
        <v>323</v>
      </c>
      <c r="D96" s="94">
        <v>1160000</v>
      </c>
      <c r="E96" s="88">
        <v>1160000</v>
      </c>
      <c r="F96" s="88"/>
      <c r="G96" s="88">
        <f>741002+418998</f>
        <v>1160000</v>
      </c>
      <c r="H96" s="88">
        <v>0</v>
      </c>
      <c r="I96" s="88">
        <v>552115</v>
      </c>
      <c r="J96" s="88"/>
      <c r="K96" s="88">
        <f t="shared" si="26"/>
        <v>552115</v>
      </c>
      <c r="L96" s="88">
        <f t="shared" si="27"/>
        <v>552115</v>
      </c>
      <c r="M96" s="94">
        <f t="shared" si="36"/>
        <v>607885</v>
      </c>
      <c r="N96" s="94"/>
      <c r="O96" s="94">
        <f t="shared" si="28"/>
        <v>0</v>
      </c>
      <c r="P96" s="94">
        <f t="shared" si="29"/>
        <v>607885</v>
      </c>
      <c r="Q96" s="94"/>
      <c r="R96" s="94"/>
      <c r="S96" s="94">
        <f t="shared" si="30"/>
        <v>0</v>
      </c>
      <c r="T96" s="94">
        <f t="shared" si="31"/>
        <v>0</v>
      </c>
      <c r="U96" s="94">
        <f t="shared" si="32"/>
        <v>0</v>
      </c>
      <c r="V96" s="88">
        <f t="shared" si="33"/>
        <v>0</v>
      </c>
      <c r="W96" s="88"/>
      <c r="X96" s="88"/>
      <c r="Y96" s="84"/>
      <c r="Z96" s="84">
        <v>742000</v>
      </c>
      <c r="AA96" s="87"/>
      <c r="AB96" s="87"/>
      <c r="AC96" s="87"/>
      <c r="AD96" s="87"/>
      <c r="AE96" s="87"/>
      <c r="AF96" s="87"/>
    </row>
    <row r="97" spans="1:32" s="95" customFormat="1" x14ac:dyDescent="0.25">
      <c r="A97" s="84">
        <f t="shared" si="34"/>
        <v>89</v>
      </c>
      <c r="B97" s="93">
        <v>1882</v>
      </c>
      <c r="C97" s="93" t="s">
        <v>316</v>
      </c>
      <c r="D97" s="94">
        <v>14300000</v>
      </c>
      <c r="E97" s="94">
        <v>14300000</v>
      </c>
      <c r="F97" s="94">
        <f t="shared" ref="F97:F104" si="37">D97-E97</f>
        <v>0</v>
      </c>
      <c r="G97" s="94">
        <v>500000</v>
      </c>
      <c r="H97" s="94">
        <v>0</v>
      </c>
      <c r="I97" s="94"/>
      <c r="J97" s="94"/>
      <c r="K97" s="94">
        <f t="shared" si="26"/>
        <v>0</v>
      </c>
      <c r="L97" s="94">
        <f t="shared" si="27"/>
        <v>0</v>
      </c>
      <c r="M97" s="94">
        <f>P97+S97-300000</f>
        <v>200000</v>
      </c>
      <c r="N97" s="94"/>
      <c r="O97" s="94">
        <f t="shared" si="28"/>
        <v>14100000</v>
      </c>
      <c r="P97" s="94">
        <f t="shared" si="29"/>
        <v>500000</v>
      </c>
      <c r="Q97" s="94"/>
      <c r="R97" s="94"/>
      <c r="S97" s="94">
        <f t="shared" si="30"/>
        <v>0</v>
      </c>
      <c r="T97" s="94">
        <f t="shared" si="31"/>
        <v>300000</v>
      </c>
      <c r="U97" s="94">
        <f t="shared" si="32"/>
        <v>-300000</v>
      </c>
      <c r="V97" s="94">
        <f t="shared" si="33"/>
        <v>-300000</v>
      </c>
      <c r="W97" s="94"/>
      <c r="X97" s="94"/>
      <c r="Y97" s="93"/>
      <c r="Z97" s="93">
        <v>742000</v>
      </c>
      <c r="AD97" s="251"/>
    </row>
    <row r="98" spans="1:32" s="95" customFormat="1" x14ac:dyDescent="0.25">
      <c r="A98" s="84">
        <f>A97+1</f>
        <v>90</v>
      </c>
      <c r="B98" s="93">
        <v>1943</v>
      </c>
      <c r="C98" s="93" t="s">
        <v>545</v>
      </c>
      <c r="D98" s="94">
        <f>5500000-2000000</f>
        <v>3500000</v>
      </c>
      <c r="E98" s="94">
        <v>2500000</v>
      </c>
      <c r="F98" s="94">
        <f t="shared" si="37"/>
        <v>1000000</v>
      </c>
      <c r="G98" s="94"/>
      <c r="H98" s="94"/>
      <c r="I98" s="94"/>
      <c r="J98" s="94"/>
      <c r="K98" s="94"/>
      <c r="L98" s="94"/>
      <c r="M98" s="94">
        <f>P98+S98</f>
        <v>2500000</v>
      </c>
      <c r="N98" s="94"/>
      <c r="O98" s="94">
        <f t="shared" si="28"/>
        <v>1000000</v>
      </c>
      <c r="P98" s="94">
        <f t="shared" si="29"/>
        <v>0</v>
      </c>
      <c r="Q98" s="94"/>
      <c r="R98" s="94">
        <v>2500000</v>
      </c>
      <c r="S98" s="94">
        <f t="shared" si="30"/>
        <v>2500000</v>
      </c>
      <c r="T98" s="94"/>
      <c r="U98" s="94">
        <f t="shared" si="32"/>
        <v>0</v>
      </c>
      <c r="V98" s="88">
        <f t="shared" si="33"/>
        <v>0</v>
      </c>
      <c r="W98" s="94"/>
      <c r="X98" s="94"/>
      <c r="Y98" s="93"/>
      <c r="Z98" s="93">
        <v>744000</v>
      </c>
      <c r="AD98" s="251"/>
    </row>
    <row r="99" spans="1:32" s="97" customFormat="1" x14ac:dyDescent="0.25">
      <c r="A99" s="84">
        <f t="shared" si="34"/>
        <v>91</v>
      </c>
      <c r="B99" s="84">
        <v>608</v>
      </c>
      <c r="C99" s="84" t="s">
        <v>49</v>
      </c>
      <c r="D99" s="94">
        <v>7300000</v>
      </c>
      <c r="E99" s="88">
        <v>6000000</v>
      </c>
      <c r="F99" s="88">
        <f t="shared" si="37"/>
        <v>1300000</v>
      </c>
      <c r="G99" s="88">
        <v>5300000</v>
      </c>
      <c r="H99" s="88">
        <v>4636694</v>
      </c>
      <c r="I99" s="88">
        <v>513627</v>
      </c>
      <c r="J99" s="88"/>
      <c r="K99" s="88">
        <f t="shared" ref="K99:K104" si="38">SUM(I99:J99)</f>
        <v>513627</v>
      </c>
      <c r="L99" s="88">
        <f t="shared" ref="L99:L104" si="39">H99+K99</f>
        <v>5150321</v>
      </c>
      <c r="M99" s="94">
        <f>P99+S99</f>
        <v>149679</v>
      </c>
      <c r="N99" s="94">
        <f>1650000-650000-200000+850000</f>
        <v>1650000</v>
      </c>
      <c r="O99" s="94">
        <f t="shared" si="28"/>
        <v>350000</v>
      </c>
      <c r="P99" s="94">
        <f t="shared" si="29"/>
        <v>149679</v>
      </c>
      <c r="Q99" s="94"/>
      <c r="R99" s="94"/>
      <c r="S99" s="94">
        <f t="shared" si="30"/>
        <v>0</v>
      </c>
      <c r="T99" s="94">
        <f t="shared" ref="T99:T104" si="40">P99-M99+S99</f>
        <v>0</v>
      </c>
      <c r="U99" s="94">
        <f t="shared" si="32"/>
        <v>1650000</v>
      </c>
      <c r="V99" s="88">
        <f t="shared" si="33"/>
        <v>1650000</v>
      </c>
      <c r="W99" s="88"/>
      <c r="X99" s="88"/>
      <c r="Y99" s="84"/>
      <c r="Z99" s="84">
        <v>745000</v>
      </c>
      <c r="AA99" s="206"/>
      <c r="AB99" s="87"/>
      <c r="AC99" s="87"/>
      <c r="AD99" s="87"/>
      <c r="AE99" s="87"/>
      <c r="AF99" s="87"/>
    </row>
    <row r="100" spans="1:32" s="95" customFormat="1" x14ac:dyDescent="0.25">
      <c r="A100" s="84">
        <f t="shared" si="34"/>
        <v>92</v>
      </c>
      <c r="B100" s="84">
        <v>304</v>
      </c>
      <c r="C100" s="84" t="s">
        <v>95</v>
      </c>
      <c r="D100" s="94">
        <v>54950000</v>
      </c>
      <c r="E100" s="88">
        <v>54950000</v>
      </c>
      <c r="F100" s="88">
        <f t="shared" si="37"/>
        <v>0</v>
      </c>
      <c r="G100" s="88">
        <v>54950000</v>
      </c>
      <c r="H100" s="88">
        <v>54780522.609999999</v>
      </c>
      <c r="I100" s="88">
        <v>8683.6299999999992</v>
      </c>
      <c r="J100" s="88">
        <v>149074.13</v>
      </c>
      <c r="K100" s="88">
        <f t="shared" si="38"/>
        <v>157757.76000000001</v>
      </c>
      <c r="L100" s="88">
        <f t="shared" si="39"/>
        <v>54938280.369999997</v>
      </c>
      <c r="M100" s="94">
        <f>P100+S100</f>
        <v>11719.630000002682</v>
      </c>
      <c r="N100" s="94"/>
      <c r="O100" s="94">
        <f t="shared" si="28"/>
        <v>0</v>
      </c>
      <c r="P100" s="94">
        <f t="shared" si="29"/>
        <v>11719.630000002682</v>
      </c>
      <c r="Q100" s="94"/>
      <c r="R100" s="94"/>
      <c r="S100" s="94">
        <f t="shared" si="30"/>
        <v>0</v>
      </c>
      <c r="T100" s="94">
        <f t="shared" si="40"/>
        <v>0</v>
      </c>
      <c r="U100" s="94">
        <f t="shared" si="32"/>
        <v>0</v>
      </c>
      <c r="V100" s="88">
        <f t="shared" si="33"/>
        <v>0</v>
      </c>
      <c r="W100" s="88"/>
      <c r="X100" s="88"/>
      <c r="Y100" s="84"/>
      <c r="Z100" s="84">
        <v>746000</v>
      </c>
      <c r="AA100" s="87"/>
      <c r="AB100" s="87"/>
      <c r="AC100" s="87"/>
      <c r="AD100" s="87"/>
      <c r="AE100" s="87"/>
      <c r="AF100" s="87"/>
    </row>
    <row r="101" spans="1:32" s="95" customFormat="1" x14ac:dyDescent="0.25">
      <c r="A101" s="84">
        <f t="shared" si="34"/>
        <v>93</v>
      </c>
      <c r="B101" s="84">
        <v>1320</v>
      </c>
      <c r="C101" s="84" t="s">
        <v>78</v>
      </c>
      <c r="D101" s="94">
        <f>23500000</f>
        <v>23500000</v>
      </c>
      <c r="E101" s="88">
        <v>23500000</v>
      </c>
      <c r="F101" s="88">
        <f t="shared" si="37"/>
        <v>0</v>
      </c>
      <c r="G101" s="88">
        <v>21700000</v>
      </c>
      <c r="H101" s="88">
        <v>20843952.5</v>
      </c>
      <c r="I101" s="88">
        <v>124911.05</v>
      </c>
      <c r="J101" s="88">
        <v>718558.2</v>
      </c>
      <c r="K101" s="88">
        <f t="shared" si="38"/>
        <v>843469.25</v>
      </c>
      <c r="L101" s="88">
        <f t="shared" si="39"/>
        <v>21687421.75</v>
      </c>
      <c r="M101" s="94">
        <f>P101+S101</f>
        <v>12578.25</v>
      </c>
      <c r="N101" s="94"/>
      <c r="O101" s="94">
        <f t="shared" si="28"/>
        <v>1800000</v>
      </c>
      <c r="P101" s="94">
        <f t="shared" si="29"/>
        <v>12578.25</v>
      </c>
      <c r="Q101" s="94"/>
      <c r="R101" s="94"/>
      <c r="S101" s="94">
        <f t="shared" si="30"/>
        <v>0</v>
      </c>
      <c r="T101" s="94">
        <f t="shared" si="40"/>
        <v>0</v>
      </c>
      <c r="U101" s="94">
        <f t="shared" si="32"/>
        <v>0</v>
      </c>
      <c r="V101" s="88">
        <f t="shared" si="33"/>
        <v>0</v>
      </c>
      <c r="W101" s="88"/>
      <c r="X101" s="88"/>
      <c r="Y101" s="84"/>
      <c r="Z101" s="84">
        <v>746000</v>
      </c>
      <c r="AA101" s="87"/>
      <c r="AB101" s="92"/>
      <c r="AC101" s="92"/>
      <c r="AD101" s="92"/>
      <c r="AE101" s="92"/>
      <c r="AF101" s="92"/>
    </row>
    <row r="102" spans="1:32" s="97" customFormat="1" x14ac:dyDescent="0.25">
      <c r="A102" s="84">
        <f t="shared" si="34"/>
        <v>94</v>
      </c>
      <c r="B102" s="84">
        <v>1568</v>
      </c>
      <c r="C102" s="84" t="s">
        <v>86</v>
      </c>
      <c r="D102" s="94">
        <f>42000000+4375301</f>
        <v>46375301</v>
      </c>
      <c r="E102" s="88">
        <v>42000000</v>
      </c>
      <c r="F102" s="88">
        <f t="shared" si="37"/>
        <v>4375301</v>
      </c>
      <c r="G102" s="88">
        <v>37875301</v>
      </c>
      <c r="H102" s="88">
        <v>27704340.309999999</v>
      </c>
      <c r="I102" s="88">
        <v>123401.89</v>
      </c>
      <c r="J102" s="88">
        <v>843454.24</v>
      </c>
      <c r="K102" s="88">
        <f t="shared" si="38"/>
        <v>966856.13</v>
      </c>
      <c r="L102" s="88">
        <f t="shared" si="39"/>
        <v>28671196.439999998</v>
      </c>
      <c r="M102" s="94">
        <f>P102+S102-9000000</f>
        <v>204104.56000000238</v>
      </c>
      <c r="N102" s="94">
        <f>5000000-5000000</f>
        <v>0</v>
      </c>
      <c r="O102" s="94">
        <f t="shared" si="28"/>
        <v>17500000</v>
      </c>
      <c r="P102" s="94">
        <f t="shared" si="29"/>
        <v>9204104.5600000024</v>
      </c>
      <c r="Q102" s="94"/>
      <c r="R102" s="94"/>
      <c r="S102" s="94">
        <f t="shared" si="30"/>
        <v>0</v>
      </c>
      <c r="T102" s="94">
        <f t="shared" si="40"/>
        <v>9000000</v>
      </c>
      <c r="U102" s="94">
        <f t="shared" si="32"/>
        <v>-9000000</v>
      </c>
      <c r="V102" s="88">
        <f t="shared" si="33"/>
        <v>-9000000</v>
      </c>
      <c r="W102" s="88"/>
      <c r="X102" s="88"/>
      <c r="Y102" s="88"/>
      <c r="Z102" s="84">
        <v>746000</v>
      </c>
      <c r="AA102" s="87"/>
      <c r="AB102" s="87"/>
      <c r="AC102" s="87"/>
      <c r="AD102" s="87"/>
      <c r="AE102" s="87"/>
      <c r="AF102" s="87"/>
    </row>
    <row r="103" spans="1:32" s="97" customFormat="1" x14ac:dyDescent="0.25">
      <c r="A103" s="84">
        <f t="shared" si="34"/>
        <v>95</v>
      </c>
      <c r="B103" s="84">
        <v>1742</v>
      </c>
      <c r="C103" s="84" t="s">
        <v>259</v>
      </c>
      <c r="D103" s="94">
        <f>400000-70000</f>
        <v>330000</v>
      </c>
      <c r="E103" s="88">
        <v>400000</v>
      </c>
      <c r="F103" s="88">
        <f t="shared" si="37"/>
        <v>-70000</v>
      </c>
      <c r="G103" s="88">
        <v>400000</v>
      </c>
      <c r="H103" s="88">
        <v>313639</v>
      </c>
      <c r="I103" s="88">
        <v>1907</v>
      </c>
      <c r="J103" s="88"/>
      <c r="K103" s="88">
        <f t="shared" si="38"/>
        <v>1907</v>
      </c>
      <c r="L103" s="88">
        <f t="shared" si="39"/>
        <v>315546</v>
      </c>
      <c r="M103" s="94">
        <f>P103+S103-70000</f>
        <v>14454</v>
      </c>
      <c r="N103" s="94"/>
      <c r="O103" s="94">
        <f t="shared" si="28"/>
        <v>0</v>
      </c>
      <c r="P103" s="94">
        <f t="shared" si="29"/>
        <v>84454</v>
      </c>
      <c r="Q103" s="94"/>
      <c r="R103" s="94"/>
      <c r="S103" s="94">
        <f t="shared" si="30"/>
        <v>0</v>
      </c>
      <c r="T103" s="94">
        <f t="shared" si="40"/>
        <v>70000</v>
      </c>
      <c r="U103" s="94">
        <f t="shared" si="32"/>
        <v>-70000</v>
      </c>
      <c r="V103" s="88">
        <f t="shared" si="33"/>
        <v>-70000</v>
      </c>
      <c r="W103" s="88"/>
      <c r="X103" s="88"/>
      <c r="Y103" s="84"/>
      <c r="Z103" s="84">
        <v>746000</v>
      </c>
      <c r="AA103" s="87"/>
      <c r="AB103" s="92"/>
      <c r="AC103" s="92"/>
      <c r="AD103" s="92"/>
      <c r="AE103" s="92"/>
      <c r="AF103" s="92"/>
    </row>
    <row r="104" spans="1:32" s="97" customFormat="1" x14ac:dyDescent="0.25">
      <c r="A104" s="84">
        <f t="shared" si="34"/>
        <v>96</v>
      </c>
      <c r="B104" s="84">
        <v>1812</v>
      </c>
      <c r="C104" s="84" t="s">
        <v>285</v>
      </c>
      <c r="D104" s="94">
        <f>900000</f>
        <v>900000</v>
      </c>
      <c r="E104" s="88">
        <v>900000</v>
      </c>
      <c r="F104" s="88">
        <f t="shared" si="37"/>
        <v>0</v>
      </c>
      <c r="G104" s="88">
        <v>900000</v>
      </c>
      <c r="H104" s="88">
        <v>0</v>
      </c>
      <c r="I104" s="88">
        <v>29250</v>
      </c>
      <c r="J104" s="88"/>
      <c r="K104" s="88">
        <f t="shared" si="38"/>
        <v>29250</v>
      </c>
      <c r="L104" s="88">
        <f t="shared" si="39"/>
        <v>29250</v>
      </c>
      <c r="M104" s="94">
        <f>P104+S104-670000</f>
        <v>200750</v>
      </c>
      <c r="N104" s="94"/>
      <c r="O104" s="94">
        <f t="shared" si="28"/>
        <v>670000</v>
      </c>
      <c r="P104" s="94">
        <f t="shared" si="29"/>
        <v>870750</v>
      </c>
      <c r="Q104" s="94"/>
      <c r="R104" s="94"/>
      <c r="S104" s="94">
        <f t="shared" si="30"/>
        <v>0</v>
      </c>
      <c r="T104" s="94">
        <f t="shared" si="40"/>
        <v>670000</v>
      </c>
      <c r="U104" s="94">
        <f t="shared" si="32"/>
        <v>-670000</v>
      </c>
      <c r="V104" s="88">
        <f t="shared" si="33"/>
        <v>-670000</v>
      </c>
      <c r="W104" s="88"/>
      <c r="X104" s="88"/>
      <c r="Y104" s="88"/>
      <c r="Z104" s="84">
        <v>746000</v>
      </c>
      <c r="AA104" s="87"/>
      <c r="AB104" s="87"/>
      <c r="AC104" s="87"/>
      <c r="AD104" s="87"/>
      <c r="AE104" s="87"/>
      <c r="AF104" s="87"/>
    </row>
    <row r="105" spans="1:32" s="380" customFormat="1" ht="15.6" x14ac:dyDescent="0.25">
      <c r="A105" s="28"/>
      <c r="B105" s="28"/>
      <c r="C105" s="28">
        <v>74</v>
      </c>
      <c r="D105" s="210">
        <f>SUM(D59:D104)</f>
        <v>553725195</v>
      </c>
      <c r="E105" s="210">
        <f t="shared" ref="E105:Y105" si="41">SUM(E59:E104)</f>
        <v>457386894</v>
      </c>
      <c r="F105" s="210">
        <f t="shared" si="41"/>
        <v>96338301</v>
      </c>
      <c r="G105" s="210">
        <f t="shared" si="41"/>
        <v>310049035</v>
      </c>
      <c r="H105" s="210">
        <f t="shared" si="41"/>
        <v>254858778.17000002</v>
      </c>
      <c r="I105" s="210">
        <f t="shared" si="41"/>
        <v>6384739.6799999988</v>
      </c>
      <c r="J105" s="210">
        <f t="shared" si="41"/>
        <v>4940307.59</v>
      </c>
      <c r="K105" s="210">
        <f t="shared" si="41"/>
        <v>11325047.27</v>
      </c>
      <c r="L105" s="210">
        <f t="shared" si="41"/>
        <v>266183825.43999997</v>
      </c>
      <c r="M105" s="210">
        <f t="shared" si="41"/>
        <v>46780209.560000002</v>
      </c>
      <c r="N105" s="210">
        <f t="shared" si="41"/>
        <v>28127931</v>
      </c>
      <c r="O105" s="210">
        <f t="shared" si="41"/>
        <v>212633229</v>
      </c>
      <c r="P105" s="210">
        <f t="shared" si="41"/>
        <v>43865209.560000002</v>
      </c>
      <c r="Q105" s="210">
        <f t="shared" si="41"/>
        <v>6140000</v>
      </c>
      <c r="R105" s="210">
        <f t="shared" si="41"/>
        <v>8700000</v>
      </c>
      <c r="S105" s="210">
        <f t="shared" si="41"/>
        <v>14840000</v>
      </c>
      <c r="T105" s="210">
        <f t="shared" si="41"/>
        <v>11925000</v>
      </c>
      <c r="U105" s="210">
        <f t="shared" si="41"/>
        <v>16202931</v>
      </c>
      <c r="V105" s="210">
        <f t="shared" si="41"/>
        <v>-14815000</v>
      </c>
      <c r="W105" s="210">
        <f t="shared" si="41"/>
        <v>0</v>
      </c>
      <c r="X105" s="210">
        <f t="shared" si="41"/>
        <v>0</v>
      </c>
      <c r="Y105" s="210">
        <f t="shared" si="41"/>
        <v>31017931</v>
      </c>
      <c r="Z105" s="28"/>
      <c r="AA105" s="120"/>
      <c r="AB105" s="120"/>
      <c r="AC105" s="120"/>
      <c r="AD105" s="120"/>
      <c r="AE105" s="120"/>
      <c r="AF105" s="120"/>
    </row>
    <row r="106" spans="1:32" s="97" customFormat="1" x14ac:dyDescent="0.25">
      <c r="A106" s="84"/>
      <c r="B106" s="84"/>
      <c r="C106" s="84"/>
      <c r="D106" s="94"/>
      <c r="E106" s="88"/>
      <c r="F106" s="88"/>
      <c r="G106" s="88"/>
      <c r="H106" s="88"/>
      <c r="I106" s="88"/>
      <c r="J106" s="88"/>
      <c r="K106" s="88"/>
      <c r="L106" s="88"/>
      <c r="M106" s="94"/>
      <c r="N106" s="94"/>
      <c r="O106" s="94"/>
      <c r="P106" s="94"/>
      <c r="Q106" s="94"/>
      <c r="R106" s="94"/>
      <c r="S106" s="94"/>
      <c r="T106" s="94"/>
      <c r="U106" s="94"/>
      <c r="V106" s="88"/>
      <c r="W106" s="88"/>
      <c r="X106" s="88"/>
      <c r="Y106" s="88"/>
      <c r="Z106" s="84"/>
      <c r="AA106" s="87"/>
      <c r="AB106" s="87"/>
      <c r="AC106" s="87"/>
      <c r="AD106" s="87"/>
      <c r="AE106" s="87"/>
      <c r="AF106" s="87"/>
    </row>
    <row r="107" spans="1:32" s="97" customFormat="1" x14ac:dyDescent="0.25">
      <c r="A107" s="84"/>
      <c r="B107" s="84"/>
      <c r="C107" s="84"/>
      <c r="D107" s="94"/>
      <c r="E107" s="88"/>
      <c r="F107" s="88"/>
      <c r="G107" s="88"/>
      <c r="H107" s="88"/>
      <c r="I107" s="88"/>
      <c r="J107" s="88"/>
      <c r="K107" s="88"/>
      <c r="L107" s="88"/>
      <c r="M107" s="94"/>
      <c r="N107" s="94"/>
      <c r="O107" s="94"/>
      <c r="P107" s="94"/>
      <c r="Q107" s="94"/>
      <c r="R107" s="94"/>
      <c r="S107" s="94"/>
      <c r="T107" s="94"/>
      <c r="U107" s="94"/>
      <c r="V107" s="88"/>
      <c r="W107" s="88"/>
      <c r="X107" s="88"/>
      <c r="Y107" s="88"/>
      <c r="Z107" s="84"/>
      <c r="AA107" s="87"/>
      <c r="AB107" s="87"/>
      <c r="AC107" s="87"/>
      <c r="AD107" s="87"/>
      <c r="AE107" s="87"/>
      <c r="AF107" s="87"/>
    </row>
    <row r="108" spans="1:32" s="87" customFormat="1" x14ac:dyDescent="0.25">
      <c r="A108" s="84">
        <f>A104+1</f>
        <v>97</v>
      </c>
      <c r="B108" s="84">
        <v>1060</v>
      </c>
      <c r="C108" s="84" t="s">
        <v>99</v>
      </c>
      <c r="D108" s="94">
        <v>2085000</v>
      </c>
      <c r="E108" s="88">
        <v>2085000</v>
      </c>
      <c r="F108" s="88">
        <f>D108-E108</f>
        <v>0</v>
      </c>
      <c r="G108" s="88">
        <v>850000</v>
      </c>
      <c r="H108" s="88">
        <v>718557.75</v>
      </c>
      <c r="I108" s="88">
        <v>40431</v>
      </c>
      <c r="J108" s="88"/>
      <c r="K108" s="88">
        <f>SUM(I108:J108)</f>
        <v>40431</v>
      </c>
      <c r="L108" s="88">
        <f>H108+K108</f>
        <v>758988.75</v>
      </c>
      <c r="M108" s="94">
        <f>P108+S108</f>
        <v>91011.25</v>
      </c>
      <c r="N108" s="94"/>
      <c r="O108" s="94">
        <f>D108-L108-M108-N108</f>
        <v>1235000</v>
      </c>
      <c r="P108" s="94">
        <f>G108-L108</f>
        <v>91011.25</v>
      </c>
      <c r="Q108" s="94"/>
      <c r="R108" s="94"/>
      <c r="S108" s="94">
        <f>SUM(Q108:R108)</f>
        <v>0</v>
      </c>
      <c r="T108" s="94">
        <f>P108-M108+S108</f>
        <v>0</v>
      </c>
      <c r="U108" s="94">
        <f>N108-T108</f>
        <v>0</v>
      </c>
      <c r="V108" s="88">
        <f>U108-Y108-W108-X108</f>
        <v>0</v>
      </c>
      <c r="W108" s="88"/>
      <c r="X108" s="88"/>
      <c r="Y108" s="84"/>
      <c r="Z108" s="84">
        <v>760000</v>
      </c>
    </row>
    <row r="109" spans="1:32" s="87" customFormat="1" ht="27.6" x14ac:dyDescent="0.25">
      <c r="A109" s="84">
        <f>A108+1</f>
        <v>98</v>
      </c>
      <c r="B109" s="84">
        <v>1351</v>
      </c>
      <c r="C109" s="84" t="s">
        <v>56</v>
      </c>
      <c r="D109" s="94">
        <f>4900000+200000+300000</f>
        <v>5400000</v>
      </c>
      <c r="E109" s="88">
        <v>4900000</v>
      </c>
      <c r="F109" s="88">
        <f>D109-E109</f>
        <v>500000</v>
      </c>
      <c r="G109" s="88">
        <f>4600000+300000</f>
        <v>4900000</v>
      </c>
      <c r="H109" s="88">
        <v>4561345.82</v>
      </c>
      <c r="I109" s="88">
        <v>38220.61</v>
      </c>
      <c r="J109" s="88"/>
      <c r="K109" s="88">
        <f>SUM(I109:J109)</f>
        <v>38220.61</v>
      </c>
      <c r="L109" s="88">
        <f>H109+K109</f>
        <v>4599566.4300000006</v>
      </c>
      <c r="M109" s="94">
        <f>P109+S109</f>
        <v>300433.56999999937</v>
      </c>
      <c r="N109" s="94">
        <v>500000</v>
      </c>
      <c r="O109" s="94">
        <f>D109-L109-M109-N109</f>
        <v>0</v>
      </c>
      <c r="P109" s="94">
        <f>G109-L109</f>
        <v>300433.56999999937</v>
      </c>
      <c r="Q109" s="94"/>
      <c r="R109" s="94"/>
      <c r="S109" s="94">
        <f>SUM(Q109:R109)</f>
        <v>0</v>
      </c>
      <c r="T109" s="94">
        <f>P109-M109+S109</f>
        <v>0</v>
      </c>
      <c r="U109" s="94">
        <f>N109-T109</f>
        <v>500000</v>
      </c>
      <c r="V109" s="88">
        <f>U109-Y109-W109-X109</f>
        <v>500000</v>
      </c>
      <c r="W109" s="88"/>
      <c r="X109" s="88"/>
      <c r="Y109" s="88"/>
      <c r="Z109" s="84">
        <v>760000</v>
      </c>
    </row>
    <row r="110" spans="1:32" s="97" customFormat="1" x14ac:dyDescent="0.25">
      <c r="A110" s="84">
        <f>A109+1</f>
        <v>99</v>
      </c>
      <c r="B110" s="84">
        <v>1529</v>
      </c>
      <c r="C110" s="84" t="s">
        <v>85</v>
      </c>
      <c r="D110" s="94">
        <f>200000+150000</f>
        <v>350000</v>
      </c>
      <c r="E110" s="88">
        <v>200000</v>
      </c>
      <c r="F110" s="88">
        <f>D110-E110</f>
        <v>150000</v>
      </c>
      <c r="G110" s="88">
        <v>200000</v>
      </c>
      <c r="H110" s="88">
        <v>110179.55</v>
      </c>
      <c r="I110" s="88"/>
      <c r="J110" s="88"/>
      <c r="K110" s="88">
        <f>SUM(I110:J110)</f>
        <v>0</v>
      </c>
      <c r="L110" s="88">
        <f>H110+K110</f>
        <v>110179.55</v>
      </c>
      <c r="M110" s="94">
        <f>P110+S110</f>
        <v>89820.45</v>
      </c>
      <c r="N110" s="94">
        <v>150000</v>
      </c>
      <c r="O110" s="94">
        <f>D110-L110-M110-N110</f>
        <v>0</v>
      </c>
      <c r="P110" s="94">
        <f>G110-L110</f>
        <v>89820.45</v>
      </c>
      <c r="Q110" s="94"/>
      <c r="R110" s="94"/>
      <c r="S110" s="94">
        <f>SUM(Q110:R110)</f>
        <v>0</v>
      </c>
      <c r="T110" s="94">
        <f>P110-M110+S110</f>
        <v>0</v>
      </c>
      <c r="U110" s="94">
        <f>N110-T110</f>
        <v>150000</v>
      </c>
      <c r="V110" s="88">
        <f>U110-Y110-W110-X110</f>
        <v>150000</v>
      </c>
      <c r="W110" s="88"/>
      <c r="X110" s="88"/>
      <c r="Y110" s="88"/>
      <c r="Z110" s="84">
        <v>760000</v>
      </c>
      <c r="AA110" s="87"/>
      <c r="AB110" s="87"/>
      <c r="AC110" s="87"/>
      <c r="AD110" s="87"/>
      <c r="AE110" s="87"/>
      <c r="AF110" s="87"/>
    </row>
    <row r="111" spans="1:32" s="380" customFormat="1" ht="15.6" x14ac:dyDescent="0.25">
      <c r="A111" s="28"/>
      <c r="B111" s="28"/>
      <c r="C111" s="28">
        <v>76</v>
      </c>
      <c r="D111" s="210">
        <f>SUM(D108:D110)</f>
        <v>7835000</v>
      </c>
      <c r="E111" s="210">
        <f t="shared" ref="E111:Y111" si="42">SUM(E108:E110)</f>
        <v>7185000</v>
      </c>
      <c r="F111" s="210">
        <f t="shared" si="42"/>
        <v>650000</v>
      </c>
      <c r="G111" s="210">
        <f t="shared" si="42"/>
        <v>5950000</v>
      </c>
      <c r="H111" s="210">
        <f t="shared" si="42"/>
        <v>5390083.1200000001</v>
      </c>
      <c r="I111" s="210">
        <f t="shared" si="42"/>
        <v>78651.61</v>
      </c>
      <c r="J111" s="210">
        <f t="shared" si="42"/>
        <v>0</v>
      </c>
      <c r="K111" s="210">
        <f t="shared" si="42"/>
        <v>78651.61</v>
      </c>
      <c r="L111" s="210">
        <f t="shared" si="42"/>
        <v>5468734.7300000004</v>
      </c>
      <c r="M111" s="210">
        <f t="shared" si="42"/>
        <v>481265.26999999938</v>
      </c>
      <c r="N111" s="210">
        <f t="shared" si="42"/>
        <v>650000</v>
      </c>
      <c r="O111" s="210">
        <f t="shared" si="42"/>
        <v>1235000</v>
      </c>
      <c r="P111" s="210">
        <f t="shared" si="42"/>
        <v>481265.26999999938</v>
      </c>
      <c r="Q111" s="210">
        <f t="shared" si="42"/>
        <v>0</v>
      </c>
      <c r="R111" s="210">
        <f t="shared" si="42"/>
        <v>0</v>
      </c>
      <c r="S111" s="210">
        <f t="shared" si="42"/>
        <v>0</v>
      </c>
      <c r="T111" s="210">
        <f t="shared" si="42"/>
        <v>0</v>
      </c>
      <c r="U111" s="210">
        <f t="shared" si="42"/>
        <v>650000</v>
      </c>
      <c r="V111" s="210">
        <f t="shared" si="42"/>
        <v>650000</v>
      </c>
      <c r="W111" s="210">
        <f t="shared" si="42"/>
        <v>0</v>
      </c>
      <c r="X111" s="210">
        <f t="shared" si="42"/>
        <v>0</v>
      </c>
      <c r="Y111" s="210">
        <f t="shared" si="42"/>
        <v>0</v>
      </c>
      <c r="Z111" s="28"/>
      <c r="AA111" s="120"/>
      <c r="AB111" s="120"/>
      <c r="AC111" s="120"/>
      <c r="AD111" s="120"/>
      <c r="AE111" s="120"/>
      <c r="AF111" s="120"/>
    </row>
    <row r="112" spans="1:32" s="97" customFormat="1" x14ac:dyDescent="0.25">
      <c r="A112" s="84"/>
      <c r="B112" s="84"/>
      <c r="C112" s="84"/>
      <c r="D112" s="94"/>
      <c r="E112" s="88"/>
      <c r="F112" s="88"/>
      <c r="G112" s="88"/>
      <c r="H112" s="88"/>
      <c r="I112" s="88"/>
      <c r="J112" s="88"/>
      <c r="K112" s="88"/>
      <c r="L112" s="88"/>
      <c r="M112" s="94"/>
      <c r="N112" s="94"/>
      <c r="O112" s="94"/>
      <c r="P112" s="94"/>
      <c r="Q112" s="94"/>
      <c r="R112" s="94"/>
      <c r="S112" s="94"/>
      <c r="T112" s="94"/>
      <c r="U112" s="94"/>
      <c r="V112" s="88"/>
      <c r="W112" s="88"/>
      <c r="X112" s="88"/>
      <c r="Y112" s="88"/>
      <c r="Z112" s="84"/>
      <c r="AA112" s="87"/>
      <c r="AB112" s="87"/>
      <c r="AC112" s="87"/>
      <c r="AD112" s="87"/>
      <c r="AE112" s="87"/>
      <c r="AF112" s="87"/>
    </row>
    <row r="113" spans="1:32" s="97" customFormat="1" x14ac:dyDescent="0.25">
      <c r="A113" s="84"/>
      <c r="B113" s="84"/>
      <c r="C113" s="84"/>
      <c r="D113" s="94"/>
      <c r="E113" s="88"/>
      <c r="F113" s="88"/>
      <c r="G113" s="88"/>
      <c r="H113" s="88"/>
      <c r="I113" s="88"/>
      <c r="J113" s="88"/>
      <c r="K113" s="88"/>
      <c r="L113" s="88"/>
      <c r="M113" s="94"/>
      <c r="N113" s="94"/>
      <c r="O113" s="94"/>
      <c r="P113" s="94"/>
      <c r="Q113" s="94"/>
      <c r="R113" s="94"/>
      <c r="S113" s="94"/>
      <c r="T113" s="94"/>
      <c r="U113" s="94"/>
      <c r="V113" s="88"/>
      <c r="W113" s="88"/>
      <c r="X113" s="88"/>
      <c r="Y113" s="88"/>
      <c r="Z113" s="84"/>
      <c r="AA113" s="87"/>
      <c r="AB113" s="87"/>
      <c r="AC113" s="87"/>
      <c r="AD113" s="87"/>
      <c r="AE113" s="87"/>
      <c r="AF113" s="87"/>
    </row>
    <row r="114" spans="1:32" s="97" customFormat="1" x14ac:dyDescent="0.25">
      <c r="A114" s="84">
        <f>A110+1</f>
        <v>100</v>
      </c>
      <c r="B114" s="84">
        <v>1268</v>
      </c>
      <c r="C114" s="84" t="s">
        <v>76</v>
      </c>
      <c r="D114" s="94">
        <f>11200000-400000</f>
        <v>10800000</v>
      </c>
      <c r="E114" s="88">
        <v>11200000</v>
      </c>
      <c r="F114" s="88">
        <f t="shared" ref="F114:F119" si="43">D114-E114</f>
        <v>-400000</v>
      </c>
      <c r="G114" s="88">
        <v>11200000</v>
      </c>
      <c r="H114" s="88">
        <v>10764946</v>
      </c>
      <c r="I114" s="88">
        <v>19091</v>
      </c>
      <c r="J114" s="88"/>
      <c r="K114" s="88">
        <f t="shared" ref="K114:K119" si="44">SUM(I114:J114)</f>
        <v>19091</v>
      </c>
      <c r="L114" s="88">
        <f t="shared" ref="L114:L119" si="45">H114+K114</f>
        <v>10784037</v>
      </c>
      <c r="M114" s="94">
        <f>P114+S114-400000</f>
        <v>15963</v>
      </c>
      <c r="N114" s="94"/>
      <c r="O114" s="94">
        <f t="shared" ref="O114:O119" si="46">D114-L114-M114-N114</f>
        <v>0</v>
      </c>
      <c r="P114" s="94">
        <f t="shared" ref="P114:P119" si="47">G114-L114</f>
        <v>415963</v>
      </c>
      <c r="Q114" s="94"/>
      <c r="R114" s="94"/>
      <c r="S114" s="94">
        <f t="shared" ref="S114:S119" si="48">SUM(Q114:R114)</f>
        <v>0</v>
      </c>
      <c r="T114" s="94">
        <f t="shared" ref="T114:T119" si="49">P114-M114+S114</f>
        <v>400000</v>
      </c>
      <c r="U114" s="94">
        <f t="shared" ref="U114:U119" si="50">N114-T114</f>
        <v>-400000</v>
      </c>
      <c r="V114" s="88">
        <f t="shared" ref="V114:V119" si="51">U114-Y114-W114-X114</f>
        <v>-400000</v>
      </c>
      <c r="W114" s="88"/>
      <c r="X114" s="88"/>
      <c r="Y114" s="84"/>
      <c r="Z114" s="84">
        <v>813200</v>
      </c>
      <c r="AA114" s="87"/>
      <c r="AB114" s="87"/>
      <c r="AC114" s="87"/>
      <c r="AD114" s="87"/>
      <c r="AE114" s="87"/>
      <c r="AF114" s="87"/>
    </row>
    <row r="115" spans="1:32" s="95" customFormat="1" x14ac:dyDescent="0.25">
      <c r="A115" s="84">
        <f>A114+1</f>
        <v>101</v>
      </c>
      <c r="B115" s="84">
        <v>1232</v>
      </c>
      <c r="C115" s="84" t="s">
        <v>100</v>
      </c>
      <c r="D115" s="94">
        <f>5750000-1320000</f>
        <v>4430000</v>
      </c>
      <c r="E115" s="88">
        <v>5750000</v>
      </c>
      <c r="F115" s="88">
        <f t="shared" si="43"/>
        <v>-1320000</v>
      </c>
      <c r="G115" s="88">
        <v>4900000</v>
      </c>
      <c r="H115" s="88">
        <v>4418129.04</v>
      </c>
      <c r="I115" s="88">
        <v>4128.72</v>
      </c>
      <c r="J115" s="88"/>
      <c r="K115" s="88">
        <f t="shared" si="44"/>
        <v>4128.72</v>
      </c>
      <c r="L115" s="88">
        <f t="shared" si="45"/>
        <v>4422257.76</v>
      </c>
      <c r="M115" s="94">
        <f>P115+S115-470000</f>
        <v>7742.2400000002235</v>
      </c>
      <c r="N115" s="94"/>
      <c r="O115" s="94">
        <f t="shared" si="46"/>
        <v>0</v>
      </c>
      <c r="P115" s="94">
        <f t="shared" si="47"/>
        <v>477742.24000000022</v>
      </c>
      <c r="Q115" s="94"/>
      <c r="R115" s="94"/>
      <c r="S115" s="94">
        <f t="shared" si="48"/>
        <v>0</v>
      </c>
      <c r="T115" s="94">
        <f t="shared" si="49"/>
        <v>470000</v>
      </c>
      <c r="U115" s="94">
        <f t="shared" si="50"/>
        <v>-470000</v>
      </c>
      <c r="V115" s="88">
        <f t="shared" si="51"/>
        <v>-470000</v>
      </c>
      <c r="W115" s="88"/>
      <c r="X115" s="88"/>
      <c r="Y115" s="84"/>
      <c r="Z115" s="84">
        <v>815000</v>
      </c>
      <c r="AA115" s="87"/>
      <c r="AB115" s="87"/>
      <c r="AC115" s="87"/>
      <c r="AD115" s="87"/>
      <c r="AE115" s="87"/>
      <c r="AF115" s="87"/>
    </row>
    <row r="116" spans="1:32" s="95" customFormat="1" x14ac:dyDescent="0.25">
      <c r="A116" s="84">
        <f>A115+1</f>
        <v>102</v>
      </c>
      <c r="B116" s="84">
        <v>1451</v>
      </c>
      <c r="C116" s="84" t="s">
        <v>83</v>
      </c>
      <c r="D116" s="94">
        <f>100000</f>
        <v>100000</v>
      </c>
      <c r="E116" s="88">
        <v>100000</v>
      </c>
      <c r="F116" s="88">
        <f t="shared" si="43"/>
        <v>0</v>
      </c>
      <c r="G116" s="88">
        <v>100000</v>
      </c>
      <c r="H116" s="88">
        <v>14589.04</v>
      </c>
      <c r="I116" s="88"/>
      <c r="J116" s="88">
        <v>59999.839999999997</v>
      </c>
      <c r="K116" s="88">
        <f t="shared" si="44"/>
        <v>59999.839999999997</v>
      </c>
      <c r="L116" s="88">
        <f t="shared" si="45"/>
        <v>74588.88</v>
      </c>
      <c r="M116" s="94">
        <f>P116+S116-25000</f>
        <v>411.11999999999534</v>
      </c>
      <c r="N116" s="94"/>
      <c r="O116" s="94">
        <f t="shared" si="46"/>
        <v>25000</v>
      </c>
      <c r="P116" s="94">
        <f t="shared" si="47"/>
        <v>25411.119999999995</v>
      </c>
      <c r="Q116" s="94"/>
      <c r="R116" s="94"/>
      <c r="S116" s="94">
        <f t="shared" si="48"/>
        <v>0</v>
      </c>
      <c r="T116" s="94">
        <f t="shared" si="49"/>
        <v>25000</v>
      </c>
      <c r="U116" s="94">
        <f t="shared" si="50"/>
        <v>-25000</v>
      </c>
      <c r="V116" s="88">
        <f t="shared" si="51"/>
        <v>-25000</v>
      </c>
      <c r="W116" s="88"/>
      <c r="X116" s="88"/>
      <c r="Y116" s="84"/>
      <c r="Z116" s="84">
        <v>823000</v>
      </c>
      <c r="AA116" s="87"/>
      <c r="AB116" s="87"/>
      <c r="AC116" s="87"/>
      <c r="AD116" s="87"/>
      <c r="AE116" s="87"/>
      <c r="AF116" s="87"/>
    </row>
    <row r="117" spans="1:32" s="95" customFormat="1" x14ac:dyDescent="0.25">
      <c r="A117" s="84">
        <f>A116+1</f>
        <v>103</v>
      </c>
      <c r="B117" s="84">
        <v>1736</v>
      </c>
      <c r="C117" s="84" t="s">
        <v>94</v>
      </c>
      <c r="D117" s="94">
        <f>650000-45000</f>
        <v>605000</v>
      </c>
      <c r="E117" s="88">
        <v>650000</v>
      </c>
      <c r="F117" s="88">
        <f t="shared" si="43"/>
        <v>-45000</v>
      </c>
      <c r="G117" s="88">
        <v>650000</v>
      </c>
      <c r="H117" s="88">
        <v>463683</v>
      </c>
      <c r="I117" s="88">
        <v>7605</v>
      </c>
      <c r="J117" s="88">
        <v>130072</v>
      </c>
      <c r="K117" s="88">
        <f t="shared" si="44"/>
        <v>137677</v>
      </c>
      <c r="L117" s="88">
        <f t="shared" si="45"/>
        <v>601360</v>
      </c>
      <c r="M117" s="94">
        <f>P117+S117-45000</f>
        <v>3640</v>
      </c>
      <c r="N117" s="94"/>
      <c r="O117" s="94">
        <f t="shared" si="46"/>
        <v>0</v>
      </c>
      <c r="P117" s="94">
        <f t="shared" si="47"/>
        <v>48640</v>
      </c>
      <c r="Q117" s="94"/>
      <c r="R117" s="94"/>
      <c r="S117" s="94">
        <f t="shared" si="48"/>
        <v>0</v>
      </c>
      <c r="T117" s="94">
        <f t="shared" si="49"/>
        <v>45000</v>
      </c>
      <c r="U117" s="94">
        <f t="shared" si="50"/>
        <v>-45000</v>
      </c>
      <c r="V117" s="88">
        <f t="shared" si="51"/>
        <v>-45000</v>
      </c>
      <c r="W117" s="88"/>
      <c r="X117" s="88"/>
      <c r="Y117" s="84"/>
      <c r="Z117" s="84">
        <v>826000</v>
      </c>
      <c r="AA117" s="87"/>
      <c r="AB117" s="92"/>
      <c r="AC117" s="92"/>
      <c r="AD117" s="92"/>
      <c r="AE117" s="92"/>
      <c r="AF117" s="92"/>
    </row>
    <row r="118" spans="1:32" s="95" customFormat="1" x14ac:dyDescent="0.25">
      <c r="A118" s="84">
        <f>A117+1</f>
        <v>104</v>
      </c>
      <c r="B118" s="84">
        <v>1357</v>
      </c>
      <c r="C118" s="84" t="s">
        <v>80</v>
      </c>
      <c r="D118" s="94">
        <v>25000000</v>
      </c>
      <c r="E118" s="88">
        <v>25000000</v>
      </c>
      <c r="F118" s="88">
        <f t="shared" si="43"/>
        <v>0</v>
      </c>
      <c r="G118" s="88">
        <v>12720000</v>
      </c>
      <c r="H118" s="88">
        <v>12414133.140000001</v>
      </c>
      <c r="I118" s="88">
        <v>66302.81</v>
      </c>
      <c r="J118" s="88">
        <v>130814.97</v>
      </c>
      <c r="K118" s="88">
        <f t="shared" si="44"/>
        <v>197117.78</v>
      </c>
      <c r="L118" s="88">
        <f t="shared" si="45"/>
        <v>12611250.92</v>
      </c>
      <c r="M118" s="94">
        <f>P118+S118-108000</f>
        <v>749.08000000007451</v>
      </c>
      <c r="N118" s="94"/>
      <c r="O118" s="94">
        <f t="shared" si="46"/>
        <v>12388000</v>
      </c>
      <c r="P118" s="94">
        <f t="shared" si="47"/>
        <v>108749.08000000007</v>
      </c>
      <c r="Q118" s="94"/>
      <c r="R118" s="94"/>
      <c r="S118" s="94">
        <f t="shared" si="48"/>
        <v>0</v>
      </c>
      <c r="T118" s="94">
        <f t="shared" si="49"/>
        <v>108000</v>
      </c>
      <c r="U118" s="94">
        <f t="shared" si="50"/>
        <v>-108000</v>
      </c>
      <c r="V118" s="88">
        <f t="shared" si="51"/>
        <v>-108000</v>
      </c>
      <c r="W118" s="88"/>
      <c r="X118" s="88"/>
      <c r="Y118" s="84"/>
      <c r="Z118" s="84">
        <v>829000</v>
      </c>
      <c r="AA118" s="87"/>
      <c r="AB118" s="92"/>
      <c r="AC118" s="92"/>
      <c r="AD118" s="92"/>
      <c r="AE118" s="92"/>
      <c r="AF118" s="92"/>
    </row>
    <row r="119" spans="1:32" s="100" customFormat="1" ht="15.6" x14ac:dyDescent="0.25">
      <c r="A119" s="84">
        <f>A118+1</f>
        <v>105</v>
      </c>
      <c r="B119" s="84">
        <v>1606</v>
      </c>
      <c r="C119" s="84" t="s">
        <v>63</v>
      </c>
      <c r="D119" s="94">
        <f>1299574-70000</f>
        <v>1229574</v>
      </c>
      <c r="E119" s="88">
        <v>1299574</v>
      </c>
      <c r="F119" s="88">
        <f t="shared" si="43"/>
        <v>-70000</v>
      </c>
      <c r="G119" s="88">
        <v>1299574</v>
      </c>
      <c r="H119" s="88">
        <v>1228338</v>
      </c>
      <c r="I119" s="88"/>
      <c r="J119" s="88">
        <v>719.21</v>
      </c>
      <c r="K119" s="88">
        <f t="shared" si="44"/>
        <v>719.21</v>
      </c>
      <c r="L119" s="88">
        <f t="shared" si="45"/>
        <v>1229057.21</v>
      </c>
      <c r="M119" s="94">
        <f>P119+S119-70000</f>
        <v>516.79000000003725</v>
      </c>
      <c r="N119" s="94"/>
      <c r="O119" s="94">
        <f t="shared" si="46"/>
        <v>0</v>
      </c>
      <c r="P119" s="94">
        <f t="shared" si="47"/>
        <v>70516.790000000037</v>
      </c>
      <c r="Q119" s="94"/>
      <c r="R119" s="94"/>
      <c r="S119" s="94">
        <f t="shared" si="48"/>
        <v>0</v>
      </c>
      <c r="T119" s="94">
        <f t="shared" si="49"/>
        <v>70000</v>
      </c>
      <c r="U119" s="94">
        <f t="shared" si="50"/>
        <v>-70000</v>
      </c>
      <c r="V119" s="88">
        <f t="shared" si="51"/>
        <v>-70000</v>
      </c>
      <c r="W119" s="88"/>
      <c r="X119" s="88"/>
      <c r="Y119" s="88"/>
      <c r="Z119" s="84">
        <v>829000</v>
      </c>
      <c r="AA119" s="87"/>
      <c r="AB119" s="87"/>
      <c r="AC119" s="87"/>
      <c r="AD119" s="87"/>
      <c r="AE119" s="87"/>
      <c r="AF119" s="87"/>
    </row>
    <row r="120" spans="1:32" s="383" customFormat="1" ht="15.6" x14ac:dyDescent="0.25">
      <c r="A120" s="28"/>
      <c r="B120" s="28"/>
      <c r="C120" s="26" t="s">
        <v>756</v>
      </c>
      <c r="D120" s="210">
        <f>SUM(D114:D119)</f>
        <v>42164574</v>
      </c>
      <c r="E120" s="210">
        <f t="shared" ref="E120:Y120" si="52">SUM(E114:E119)</f>
        <v>43999574</v>
      </c>
      <c r="F120" s="210">
        <f t="shared" si="52"/>
        <v>-1835000</v>
      </c>
      <c r="G120" s="210">
        <f t="shared" si="52"/>
        <v>30869574</v>
      </c>
      <c r="H120" s="210">
        <f t="shared" si="52"/>
        <v>29303818.219999999</v>
      </c>
      <c r="I120" s="210">
        <f t="shared" si="52"/>
        <v>97127.53</v>
      </c>
      <c r="J120" s="210">
        <f t="shared" si="52"/>
        <v>321606.02</v>
      </c>
      <c r="K120" s="210">
        <f t="shared" si="52"/>
        <v>418733.55</v>
      </c>
      <c r="L120" s="210">
        <f t="shared" si="52"/>
        <v>29722551.770000003</v>
      </c>
      <c r="M120" s="210">
        <f t="shared" si="52"/>
        <v>29022.230000000331</v>
      </c>
      <c r="N120" s="210">
        <f t="shared" si="52"/>
        <v>0</v>
      </c>
      <c r="O120" s="210">
        <f t="shared" si="52"/>
        <v>12413000</v>
      </c>
      <c r="P120" s="210">
        <f t="shared" si="52"/>
        <v>1147022.2300000004</v>
      </c>
      <c r="Q120" s="210">
        <f t="shared" si="52"/>
        <v>0</v>
      </c>
      <c r="R120" s="210">
        <f t="shared" si="52"/>
        <v>0</v>
      </c>
      <c r="S120" s="210">
        <f t="shared" si="52"/>
        <v>0</v>
      </c>
      <c r="T120" s="210">
        <f t="shared" si="52"/>
        <v>1118000</v>
      </c>
      <c r="U120" s="210">
        <f t="shared" si="52"/>
        <v>-1118000</v>
      </c>
      <c r="V120" s="210">
        <f t="shared" si="52"/>
        <v>-1118000</v>
      </c>
      <c r="W120" s="210">
        <f t="shared" si="52"/>
        <v>0</v>
      </c>
      <c r="X120" s="210">
        <f t="shared" si="52"/>
        <v>0</v>
      </c>
      <c r="Y120" s="210">
        <f t="shared" si="52"/>
        <v>0</v>
      </c>
      <c r="Z120" s="28"/>
      <c r="AA120" s="120"/>
      <c r="AB120" s="120"/>
      <c r="AC120" s="120"/>
      <c r="AD120" s="120"/>
      <c r="AE120" s="120"/>
      <c r="AF120" s="120"/>
    </row>
    <row r="121" spans="1:32" s="100" customFormat="1" ht="15.6" x14ac:dyDescent="0.25">
      <c r="A121" s="84"/>
      <c r="B121" s="84"/>
      <c r="C121" s="84"/>
      <c r="D121" s="94"/>
      <c r="E121" s="88"/>
      <c r="F121" s="88"/>
      <c r="G121" s="88"/>
      <c r="H121" s="88"/>
      <c r="I121" s="88"/>
      <c r="J121" s="88"/>
      <c r="K121" s="88"/>
      <c r="L121" s="88"/>
      <c r="M121" s="94"/>
      <c r="N121" s="94"/>
      <c r="O121" s="94"/>
      <c r="P121" s="94"/>
      <c r="Q121" s="94"/>
      <c r="R121" s="94"/>
      <c r="S121" s="94"/>
      <c r="T121" s="94"/>
      <c r="U121" s="94"/>
      <c r="V121" s="88"/>
      <c r="W121" s="88"/>
      <c r="X121" s="88"/>
      <c r="Y121" s="88"/>
      <c r="Z121" s="84"/>
      <c r="AA121" s="87"/>
      <c r="AB121" s="87"/>
      <c r="AC121" s="87"/>
      <c r="AD121" s="87"/>
      <c r="AE121" s="87"/>
      <c r="AF121" s="87"/>
    </row>
    <row r="122" spans="1:32" s="100" customFormat="1" ht="15.6" x14ac:dyDescent="0.25">
      <c r="A122" s="84"/>
      <c r="B122" s="84"/>
      <c r="C122" s="84"/>
      <c r="D122" s="94"/>
      <c r="E122" s="88"/>
      <c r="F122" s="88"/>
      <c r="G122" s="88"/>
      <c r="H122" s="88"/>
      <c r="I122" s="88"/>
      <c r="J122" s="88"/>
      <c r="K122" s="88"/>
      <c r="L122" s="88"/>
      <c r="M122" s="94"/>
      <c r="N122" s="94"/>
      <c r="O122" s="94"/>
      <c r="P122" s="94"/>
      <c r="Q122" s="94"/>
      <c r="R122" s="94"/>
      <c r="S122" s="94"/>
      <c r="T122" s="94"/>
      <c r="U122" s="94"/>
      <c r="V122" s="88"/>
      <c r="W122" s="88"/>
      <c r="X122" s="88"/>
      <c r="Y122" s="88"/>
      <c r="Z122" s="84"/>
      <c r="AA122" s="87"/>
      <c r="AB122" s="87"/>
      <c r="AC122" s="87"/>
      <c r="AD122" s="87"/>
      <c r="AE122" s="87"/>
      <c r="AF122" s="87"/>
    </row>
    <row r="123" spans="1:32" s="87" customFormat="1" ht="15.75" customHeight="1" x14ac:dyDescent="0.25">
      <c r="A123" s="84">
        <f>A119+1</f>
        <v>106</v>
      </c>
      <c r="B123" s="84">
        <v>658</v>
      </c>
      <c r="C123" s="84" t="s">
        <v>50</v>
      </c>
      <c r="D123" s="94">
        <v>1700000</v>
      </c>
      <c r="E123" s="88">
        <v>1700000</v>
      </c>
      <c r="F123" s="88">
        <f>D123-E123</f>
        <v>0</v>
      </c>
      <c r="G123" s="88">
        <v>1350000</v>
      </c>
      <c r="H123" s="88">
        <v>994575.31</v>
      </c>
      <c r="I123" s="88">
        <v>15858.03</v>
      </c>
      <c r="J123" s="88"/>
      <c r="K123" s="88">
        <f>SUM(I123:J123)</f>
        <v>15858.03</v>
      </c>
      <c r="L123" s="88">
        <f>H123+K123</f>
        <v>1010433.3400000001</v>
      </c>
      <c r="M123" s="94">
        <f>P123+S123</f>
        <v>339566.65999999992</v>
      </c>
      <c r="N123" s="94"/>
      <c r="O123" s="94">
        <f>D123-L123-M123-N123</f>
        <v>350000</v>
      </c>
      <c r="P123" s="94">
        <f>G123-L123</f>
        <v>339566.65999999992</v>
      </c>
      <c r="Q123" s="94"/>
      <c r="R123" s="94"/>
      <c r="S123" s="94">
        <f>SUM(Q123:R123)</f>
        <v>0</v>
      </c>
      <c r="T123" s="94">
        <f>P123-M123+S123</f>
        <v>0</v>
      </c>
      <c r="U123" s="94">
        <f>N123-T123</f>
        <v>0</v>
      </c>
      <c r="V123" s="88">
        <f>U123-Y123-W123-X123</f>
        <v>0</v>
      </c>
      <c r="W123" s="88"/>
      <c r="X123" s="88"/>
      <c r="Y123" s="84"/>
      <c r="Z123" s="84">
        <v>930000</v>
      </c>
    </row>
    <row r="124" spans="1:32" s="87" customFormat="1" ht="15" customHeight="1" x14ac:dyDescent="0.25">
      <c r="A124" s="84">
        <f>A123+1</f>
        <v>107</v>
      </c>
      <c r="B124" s="93">
        <v>1935</v>
      </c>
      <c r="C124" s="93" t="s">
        <v>431</v>
      </c>
      <c r="D124" s="94">
        <f>1000000+200000</f>
        <v>1200000</v>
      </c>
      <c r="E124" s="94">
        <v>1000000</v>
      </c>
      <c r="F124" s="94">
        <f>D124-E124</f>
        <v>200000</v>
      </c>
      <c r="G124" s="94"/>
      <c r="H124" s="94"/>
      <c r="I124" s="94"/>
      <c r="J124" s="94"/>
      <c r="K124" s="94"/>
      <c r="L124" s="94"/>
      <c r="M124" s="94">
        <f>P124+S124</f>
        <v>1000000</v>
      </c>
      <c r="N124" s="94">
        <v>200000</v>
      </c>
      <c r="O124" s="94"/>
      <c r="P124" s="94"/>
      <c r="Q124" s="94"/>
      <c r="R124" s="94">
        <v>1000000</v>
      </c>
      <c r="S124" s="94">
        <f>SUM(Q124:R124)</f>
        <v>1000000</v>
      </c>
      <c r="T124" s="94"/>
      <c r="U124" s="94">
        <f>N124-T124</f>
        <v>200000</v>
      </c>
      <c r="V124" s="94">
        <f>U124-Y124-W124-X124</f>
        <v>200000</v>
      </c>
      <c r="W124" s="94"/>
      <c r="X124" s="94"/>
      <c r="Y124" s="94"/>
      <c r="Z124" s="93">
        <v>930000</v>
      </c>
      <c r="AA124" s="95"/>
      <c r="AB124" s="95"/>
      <c r="AC124" s="95"/>
      <c r="AD124" s="251"/>
      <c r="AE124" s="95"/>
      <c r="AF124" s="95"/>
    </row>
    <row r="125" spans="1:32" s="92" customFormat="1" ht="15" customHeight="1" x14ac:dyDescent="0.25">
      <c r="A125" s="90"/>
      <c r="B125" s="108"/>
      <c r="C125" s="108">
        <v>93</v>
      </c>
      <c r="D125" s="160">
        <f>SUM(D123:D124)</f>
        <v>2900000</v>
      </c>
      <c r="E125" s="160">
        <f t="shared" ref="E125:Y125" si="53">SUM(E123:E124)</f>
        <v>2700000</v>
      </c>
      <c r="F125" s="160">
        <f t="shared" si="53"/>
        <v>200000</v>
      </c>
      <c r="G125" s="160">
        <f t="shared" si="53"/>
        <v>1350000</v>
      </c>
      <c r="H125" s="160">
        <f t="shared" si="53"/>
        <v>994575.31</v>
      </c>
      <c r="I125" s="160">
        <f t="shared" si="53"/>
        <v>15858.03</v>
      </c>
      <c r="J125" s="160">
        <f t="shared" si="53"/>
        <v>0</v>
      </c>
      <c r="K125" s="160">
        <f t="shared" si="53"/>
        <v>15858.03</v>
      </c>
      <c r="L125" s="160">
        <f t="shared" si="53"/>
        <v>1010433.3400000001</v>
      </c>
      <c r="M125" s="160">
        <f t="shared" si="53"/>
        <v>1339566.6599999999</v>
      </c>
      <c r="N125" s="160">
        <f t="shared" si="53"/>
        <v>200000</v>
      </c>
      <c r="O125" s="160">
        <f t="shared" si="53"/>
        <v>350000</v>
      </c>
      <c r="P125" s="160">
        <f t="shared" si="53"/>
        <v>339566.65999999992</v>
      </c>
      <c r="Q125" s="160">
        <f t="shared" si="53"/>
        <v>0</v>
      </c>
      <c r="R125" s="160">
        <f t="shared" si="53"/>
        <v>1000000</v>
      </c>
      <c r="S125" s="160">
        <f t="shared" si="53"/>
        <v>1000000</v>
      </c>
      <c r="T125" s="160">
        <f t="shared" si="53"/>
        <v>0</v>
      </c>
      <c r="U125" s="160">
        <f t="shared" si="53"/>
        <v>200000</v>
      </c>
      <c r="V125" s="160">
        <f t="shared" si="53"/>
        <v>200000</v>
      </c>
      <c r="W125" s="160">
        <f t="shared" si="53"/>
        <v>0</v>
      </c>
      <c r="X125" s="160">
        <f t="shared" si="53"/>
        <v>0</v>
      </c>
      <c r="Y125" s="160">
        <f t="shared" si="53"/>
        <v>0</v>
      </c>
      <c r="Z125" s="108"/>
      <c r="AA125" s="97"/>
      <c r="AB125" s="97"/>
      <c r="AC125" s="97"/>
      <c r="AD125" s="384"/>
      <c r="AE125" s="97"/>
      <c r="AF125" s="97"/>
    </row>
    <row r="126" spans="1:32" s="87" customFormat="1" ht="15" customHeight="1" x14ac:dyDescent="0.25">
      <c r="A126" s="84"/>
      <c r="B126" s="93"/>
      <c r="C126" s="93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3"/>
      <c r="AA126" s="95"/>
      <c r="AB126" s="95"/>
      <c r="AC126" s="95"/>
      <c r="AD126" s="251"/>
      <c r="AE126" s="95"/>
      <c r="AF126" s="95"/>
    </row>
    <row r="127" spans="1:32" s="87" customFormat="1" x14ac:dyDescent="0.25">
      <c r="A127" s="84"/>
      <c r="B127" s="84"/>
      <c r="C127" s="84"/>
      <c r="D127" s="94"/>
      <c r="E127" s="88"/>
      <c r="F127" s="88"/>
      <c r="G127" s="88"/>
      <c r="H127" s="88"/>
      <c r="I127" s="88"/>
      <c r="J127" s="88"/>
      <c r="K127" s="88"/>
      <c r="L127" s="88"/>
      <c r="M127" s="94"/>
      <c r="N127" s="94"/>
      <c r="O127" s="94"/>
      <c r="P127" s="94"/>
      <c r="Q127" s="94"/>
      <c r="R127" s="94"/>
      <c r="S127" s="94"/>
      <c r="T127" s="94"/>
      <c r="U127" s="94"/>
      <c r="V127" s="88"/>
      <c r="W127" s="88"/>
      <c r="X127" s="88"/>
      <c r="Y127" s="88"/>
      <c r="Z127" s="84"/>
    </row>
    <row r="128" spans="1:32" s="103" customFormat="1" ht="15.6" x14ac:dyDescent="0.25">
      <c r="A128" s="101">
        <f>A124</f>
        <v>107</v>
      </c>
      <c r="B128" s="101"/>
      <c r="C128" s="102" t="s">
        <v>103</v>
      </c>
      <c r="D128" s="210">
        <f>D125+D120+D111+D105+D57</f>
        <v>693014769</v>
      </c>
      <c r="E128" s="210">
        <f t="shared" ref="E128:Y128" si="54">E125+E120+E111+E105+E57</f>
        <v>596043468</v>
      </c>
      <c r="F128" s="210">
        <f t="shared" si="54"/>
        <v>96971301</v>
      </c>
      <c r="G128" s="210">
        <f t="shared" si="54"/>
        <v>404262285</v>
      </c>
      <c r="H128" s="210">
        <f t="shared" si="54"/>
        <v>325615379.21999997</v>
      </c>
      <c r="I128" s="210">
        <f t="shared" si="54"/>
        <v>10485657.76</v>
      </c>
      <c r="J128" s="210">
        <f t="shared" si="54"/>
        <v>9127528.2299999986</v>
      </c>
      <c r="K128" s="210">
        <f t="shared" si="54"/>
        <v>19613185.989999998</v>
      </c>
      <c r="L128" s="210">
        <f t="shared" si="54"/>
        <v>345228565.20999998</v>
      </c>
      <c r="M128" s="210">
        <f t="shared" si="54"/>
        <v>60905719.789999999</v>
      </c>
      <c r="N128" s="210">
        <f t="shared" si="54"/>
        <v>33487931</v>
      </c>
      <c r="O128" s="210">
        <f t="shared" si="54"/>
        <v>253392553</v>
      </c>
      <c r="P128" s="210">
        <f t="shared" si="54"/>
        <v>59033719.789999999</v>
      </c>
      <c r="Q128" s="210">
        <f t="shared" si="54"/>
        <v>7715000</v>
      </c>
      <c r="R128" s="210">
        <f t="shared" si="54"/>
        <v>10150000</v>
      </c>
      <c r="S128" s="210">
        <f t="shared" si="54"/>
        <v>17865000</v>
      </c>
      <c r="T128" s="210">
        <f t="shared" si="54"/>
        <v>15993000</v>
      </c>
      <c r="U128" s="210">
        <f t="shared" si="54"/>
        <v>17494931</v>
      </c>
      <c r="V128" s="210">
        <f t="shared" si="54"/>
        <v>-14023000</v>
      </c>
      <c r="W128" s="210">
        <f t="shared" si="54"/>
        <v>0</v>
      </c>
      <c r="X128" s="210">
        <f t="shared" si="54"/>
        <v>0</v>
      </c>
      <c r="Y128" s="210">
        <f t="shared" si="54"/>
        <v>31517931</v>
      </c>
      <c r="Z128" s="101"/>
    </row>
    <row r="129" spans="1:32" s="103" customFormat="1" ht="15.6" x14ac:dyDescent="0.25">
      <c r="A129" s="101"/>
      <c r="B129" s="101"/>
      <c r="C129" s="102"/>
      <c r="D129" s="233"/>
      <c r="E129" s="101"/>
      <c r="F129" s="101"/>
      <c r="G129" s="101"/>
      <c r="H129" s="101"/>
      <c r="I129" s="101"/>
      <c r="J129" s="101"/>
      <c r="K129" s="101"/>
      <c r="L129" s="101"/>
      <c r="M129" s="210"/>
      <c r="N129" s="210"/>
      <c r="O129" s="210"/>
      <c r="P129" s="210"/>
      <c r="Q129" s="210"/>
      <c r="R129" s="210"/>
      <c r="S129" s="210"/>
      <c r="T129" s="210"/>
      <c r="U129" s="210"/>
      <c r="V129" s="101"/>
      <c r="W129" s="101"/>
      <c r="X129" s="101"/>
      <c r="Y129" s="101"/>
      <c r="Z129" s="101"/>
    </row>
    <row r="130" spans="1:32" s="103" customFormat="1" ht="15.6" x14ac:dyDescent="0.25">
      <c r="A130" s="101"/>
      <c r="B130" s="101"/>
      <c r="C130" s="102"/>
      <c r="D130" s="233"/>
      <c r="E130" s="101"/>
      <c r="F130" s="101"/>
      <c r="G130" s="101"/>
      <c r="H130" s="101"/>
      <c r="I130" s="101"/>
      <c r="J130" s="101"/>
      <c r="K130" s="101"/>
      <c r="L130" s="101"/>
      <c r="M130" s="210"/>
      <c r="N130" s="210"/>
      <c r="O130" s="210"/>
      <c r="P130" s="210"/>
      <c r="Q130" s="210"/>
      <c r="R130" s="210"/>
      <c r="S130" s="210"/>
      <c r="T130" s="210"/>
      <c r="U130" s="210"/>
      <c r="V130" s="101"/>
      <c r="W130" s="101"/>
      <c r="X130" s="101"/>
      <c r="Y130" s="101"/>
      <c r="Z130" s="101"/>
    </row>
    <row r="132" spans="1:32" x14ac:dyDescent="0.25">
      <c r="L132" s="104">
        <f>H128+K128</f>
        <v>345228565.20999998</v>
      </c>
      <c r="M132" s="234">
        <f>P128+S128-T128</f>
        <v>60905719.789999992</v>
      </c>
      <c r="P132" s="234">
        <f>G128-L128</f>
        <v>59033719.790000021</v>
      </c>
    </row>
    <row r="133" spans="1:32" x14ac:dyDescent="0.25">
      <c r="U133" s="213"/>
    </row>
    <row r="134" spans="1:32" s="213" customFormat="1" hidden="1" x14ac:dyDescent="0.25">
      <c r="A134" s="80"/>
      <c r="B134" s="80"/>
      <c r="C134" s="80"/>
      <c r="E134" s="105"/>
      <c r="F134" s="105"/>
      <c r="G134" s="105"/>
      <c r="H134" s="105"/>
      <c r="I134" s="105"/>
      <c r="J134" s="105"/>
      <c r="K134" s="105"/>
      <c r="L134" s="105"/>
      <c r="N134" s="213" t="s">
        <v>422</v>
      </c>
      <c r="O134" s="213" t="s">
        <v>411</v>
      </c>
      <c r="P134" s="211" t="s">
        <v>414</v>
      </c>
      <c r="Q134" s="234">
        <f>'[1]הנדסה '!$AZ$209</f>
        <v>7715000</v>
      </c>
      <c r="U134" s="211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</row>
    <row r="135" spans="1:32" s="213" customFormat="1" hidden="1" x14ac:dyDescent="0.25">
      <c r="A135" s="80"/>
      <c r="B135" s="80"/>
      <c r="C135" s="80"/>
      <c r="E135" s="105"/>
      <c r="F135" s="105"/>
      <c r="G135" s="105"/>
      <c r="H135" s="105"/>
      <c r="I135" s="105"/>
      <c r="J135" s="105"/>
      <c r="K135" s="105"/>
      <c r="L135" s="105"/>
      <c r="N135" s="213" t="s">
        <v>527</v>
      </c>
      <c r="P135" s="211"/>
      <c r="Q135" s="246">
        <f>'[3]הנדסה '!$BA$178</f>
        <v>6915000</v>
      </c>
      <c r="U135" s="211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</row>
    <row r="136" spans="1:32" s="213" customFormat="1" hidden="1" x14ac:dyDescent="0.25">
      <c r="A136" s="80"/>
      <c r="B136" s="80"/>
      <c r="C136" s="80"/>
      <c r="E136" s="105"/>
      <c r="F136" s="105"/>
      <c r="G136" s="105"/>
      <c r="H136" s="105"/>
      <c r="I136" s="105"/>
      <c r="J136" s="105"/>
      <c r="K136" s="105"/>
      <c r="L136" s="105"/>
      <c r="P136" s="211"/>
      <c r="Q136" s="246">
        <f>Q134-Q135</f>
        <v>800000</v>
      </c>
      <c r="U136" s="211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</row>
    <row r="137" spans="1:32" s="213" customFormat="1" hidden="1" x14ac:dyDescent="0.25">
      <c r="A137" s="80"/>
      <c r="B137" s="80"/>
      <c r="C137" s="80"/>
      <c r="E137" s="105"/>
      <c r="F137" s="105"/>
      <c r="G137" s="105"/>
      <c r="H137" s="105"/>
      <c r="I137" s="105"/>
      <c r="J137" s="105"/>
      <c r="K137" s="105"/>
      <c r="L137" s="105"/>
      <c r="N137" s="213" t="s">
        <v>555</v>
      </c>
      <c r="O137" s="213" t="s">
        <v>557</v>
      </c>
      <c r="P137" s="246">
        <v>300000</v>
      </c>
      <c r="Q137" s="246"/>
      <c r="U137" s="211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</row>
    <row r="138" spans="1:32" s="213" customFormat="1" hidden="1" x14ac:dyDescent="0.25">
      <c r="A138" s="80"/>
      <c r="B138" s="80"/>
      <c r="C138" s="80"/>
      <c r="E138" s="105"/>
      <c r="F138" s="105"/>
      <c r="G138" s="105"/>
      <c r="H138" s="105"/>
      <c r="I138" s="105"/>
      <c r="J138" s="105"/>
      <c r="K138" s="105"/>
      <c r="L138" s="105"/>
      <c r="N138" s="213" t="s">
        <v>556</v>
      </c>
      <c r="P138" s="213">
        <v>500000</v>
      </c>
      <c r="Q138" s="213">
        <f>SUM(P137:P138)</f>
        <v>800000</v>
      </c>
      <c r="U138" s="211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</row>
    <row r="139" spans="1:32" s="213" customFormat="1" hidden="1" x14ac:dyDescent="0.25">
      <c r="A139" s="80"/>
      <c r="B139" s="80"/>
      <c r="C139" s="80"/>
      <c r="E139" s="105"/>
      <c r="F139" s="105"/>
      <c r="G139" s="105"/>
      <c r="H139" s="105"/>
      <c r="I139" s="105"/>
      <c r="J139" s="105"/>
      <c r="K139" s="105"/>
      <c r="L139" s="105"/>
      <c r="N139" s="213" t="s">
        <v>426</v>
      </c>
      <c r="P139" s="211" t="s">
        <v>414</v>
      </c>
      <c r="R139" s="213">
        <f>'[1]ריכוז תקציבים מעבר לתוכנית 31.8'!$AD$24</f>
        <v>12650000</v>
      </c>
      <c r="U139" s="211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</row>
    <row r="140" spans="1:32" s="213" customFormat="1" hidden="1" x14ac:dyDescent="0.25">
      <c r="A140" s="80"/>
      <c r="B140" s="80"/>
      <c r="C140" s="80"/>
      <c r="E140" s="105"/>
      <c r="F140" s="105"/>
      <c r="G140" s="105"/>
      <c r="H140" s="105"/>
      <c r="I140" s="105"/>
      <c r="J140" s="105"/>
      <c r="K140" s="105"/>
      <c r="L140" s="105"/>
      <c r="N140" s="213" t="s">
        <v>440</v>
      </c>
      <c r="R140" s="213">
        <f>'פרוט החב. לפיתוח'!$R$136</f>
        <v>2500000</v>
      </c>
      <c r="U140" s="211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</row>
    <row r="141" spans="1:32" s="213" customFormat="1" hidden="1" x14ac:dyDescent="0.25">
      <c r="A141" s="80"/>
      <c r="B141" s="80"/>
      <c r="C141" s="80"/>
      <c r="E141" s="105"/>
      <c r="F141" s="105"/>
      <c r="G141" s="105"/>
      <c r="H141" s="105"/>
      <c r="I141" s="105"/>
      <c r="J141" s="105"/>
      <c r="K141" s="105"/>
      <c r="L141" s="105"/>
      <c r="R141" s="234">
        <f>R139-R140</f>
        <v>10150000</v>
      </c>
      <c r="U141" s="211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</row>
    <row r="142" spans="1:32" s="213" customFormat="1" hidden="1" x14ac:dyDescent="0.25">
      <c r="A142" s="80"/>
      <c r="B142" s="80"/>
      <c r="C142" s="80"/>
      <c r="E142" s="105"/>
      <c r="F142" s="105"/>
      <c r="G142" s="105"/>
      <c r="H142" s="105"/>
      <c r="I142" s="105"/>
      <c r="J142" s="105"/>
      <c r="K142" s="105"/>
      <c r="L142" s="105"/>
      <c r="U142" s="211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</row>
    <row r="143" spans="1:32" s="213" customFormat="1" hidden="1" x14ac:dyDescent="0.25">
      <c r="A143" s="80"/>
      <c r="B143" s="80"/>
      <c r="C143" s="80"/>
      <c r="E143" s="105"/>
      <c r="F143" s="105"/>
      <c r="G143" s="105"/>
      <c r="H143" s="105"/>
      <c r="I143" s="105"/>
      <c r="J143" s="105"/>
      <c r="K143" s="105"/>
      <c r="L143" s="105"/>
      <c r="U143" s="211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</row>
    <row r="144" spans="1:32" s="213" customFormat="1" hidden="1" x14ac:dyDescent="0.25">
      <c r="A144" s="80"/>
      <c r="B144" s="80"/>
      <c r="C144" s="80"/>
      <c r="E144" s="105"/>
      <c r="F144" s="105"/>
      <c r="G144" s="105"/>
      <c r="H144" s="105"/>
      <c r="I144" s="105"/>
      <c r="J144" s="105"/>
      <c r="K144" s="105"/>
      <c r="L144" s="105"/>
      <c r="Q144" s="213" t="s">
        <v>516</v>
      </c>
      <c r="R144" s="213">
        <v>1450000</v>
      </c>
      <c r="U144" s="211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</row>
    <row r="145" spans="1:32" s="213" customFormat="1" hidden="1" x14ac:dyDescent="0.25">
      <c r="A145" s="80"/>
      <c r="B145" s="80"/>
      <c r="C145" s="80"/>
      <c r="E145" s="105"/>
      <c r="F145" s="105"/>
      <c r="G145" s="105"/>
      <c r="H145" s="105"/>
      <c r="I145" s="105"/>
      <c r="J145" s="105"/>
      <c r="K145" s="105"/>
      <c r="L145" s="105"/>
      <c r="U145" s="211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</row>
    <row r="146" spans="1:32" s="213" customFormat="1" hidden="1" x14ac:dyDescent="0.25">
      <c r="A146" s="80"/>
      <c r="B146" s="80"/>
      <c r="C146" s="80"/>
      <c r="E146" s="105"/>
      <c r="F146" s="105"/>
      <c r="G146" s="105"/>
      <c r="H146" s="105"/>
      <c r="I146" s="105"/>
      <c r="J146" s="105"/>
      <c r="K146" s="105"/>
      <c r="L146" s="105"/>
      <c r="R146" s="213">
        <f>R141-R144</f>
        <v>8700000</v>
      </c>
      <c r="U146" s="211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</row>
    <row r="147" spans="1:32" s="213" customFormat="1" hidden="1" x14ac:dyDescent="0.25">
      <c r="A147" s="80"/>
      <c r="B147" s="80"/>
      <c r="C147" s="80"/>
      <c r="E147" s="105"/>
      <c r="F147" s="105"/>
      <c r="G147" s="105"/>
      <c r="H147" s="105"/>
      <c r="I147" s="105"/>
      <c r="J147" s="105"/>
      <c r="K147" s="105"/>
      <c r="L147" s="105"/>
      <c r="U147" s="211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</row>
    <row r="148" spans="1:32" s="213" customFormat="1" hidden="1" x14ac:dyDescent="0.25">
      <c r="A148" s="80"/>
      <c r="B148" s="80"/>
      <c r="C148" s="80"/>
      <c r="E148" s="105"/>
      <c r="F148" s="105"/>
      <c r="G148" s="105"/>
      <c r="H148" s="105"/>
      <c r="I148" s="105"/>
      <c r="J148" s="105"/>
      <c r="K148" s="105"/>
      <c r="L148" s="105"/>
      <c r="P148" s="213" t="s">
        <v>530</v>
      </c>
      <c r="Q148" s="247">
        <v>1744</v>
      </c>
      <c r="R148" s="213">
        <v>6200000</v>
      </c>
      <c r="U148" s="211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</row>
    <row r="149" spans="1:32" s="213" customFormat="1" hidden="1" x14ac:dyDescent="0.25">
      <c r="A149" s="80"/>
      <c r="B149" s="80"/>
      <c r="C149" s="80"/>
      <c r="E149" s="105"/>
      <c r="F149" s="105"/>
      <c r="G149" s="105"/>
      <c r="H149" s="105"/>
      <c r="I149" s="105"/>
      <c r="J149" s="105"/>
      <c r="K149" s="105"/>
      <c r="L149" s="105"/>
      <c r="P149" s="213" t="s">
        <v>530</v>
      </c>
      <c r="Q149" s="247">
        <v>1943</v>
      </c>
      <c r="R149" s="213">
        <v>2500000</v>
      </c>
      <c r="U149" s="211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</row>
    <row r="150" spans="1:32" s="213" customFormat="1" hidden="1" x14ac:dyDescent="0.25">
      <c r="A150" s="80"/>
      <c r="B150" s="80"/>
      <c r="C150" s="80"/>
      <c r="E150" s="105"/>
      <c r="F150" s="105"/>
      <c r="G150" s="105"/>
      <c r="H150" s="105"/>
      <c r="I150" s="105"/>
      <c r="J150" s="105"/>
      <c r="K150" s="105"/>
      <c r="L150" s="105"/>
      <c r="R150" s="213">
        <f>SUM(R148:R149)</f>
        <v>8700000</v>
      </c>
      <c r="U150" s="211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</row>
    <row r="151" spans="1:32" s="213" customFormat="1" hidden="1" x14ac:dyDescent="0.25">
      <c r="A151" s="80"/>
      <c r="B151" s="80"/>
      <c r="C151" s="80"/>
      <c r="E151" s="105"/>
      <c r="F151" s="105"/>
      <c r="G151" s="105"/>
      <c r="H151" s="105"/>
      <c r="I151" s="105"/>
      <c r="J151" s="105"/>
      <c r="K151" s="105"/>
      <c r="L151" s="105"/>
      <c r="U151" s="211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</row>
  </sheetData>
  <sheetProtection formatCells="0" formatColumns="0" formatRows="0" insertColumns="0" insertRows="0" insertHyperlinks="0" deleteColumns="0" deleteRows="0" sort="0" autoFilter="0" pivotTables="0"/>
  <sortState ref="A7:AF122">
    <sortCondition ref="Z7:Z122"/>
  </sortState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fitToHeight="0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rightToLeft="1" topLeftCell="A10" zoomScaleNormal="100" workbookViewId="0">
      <selection activeCell="E28" sqref="E28"/>
    </sheetView>
  </sheetViews>
  <sheetFormatPr defaultColWidth="9.109375" defaultRowHeight="13.8" x14ac:dyDescent="0.25"/>
  <cols>
    <col min="1" max="2" width="4.109375" style="253" customWidth="1"/>
    <col min="3" max="3" width="33" style="253" customWidth="1"/>
    <col min="4" max="4" width="10.6640625" style="253" customWidth="1"/>
    <col min="5" max="5" width="12.109375" style="253" customWidth="1"/>
    <col min="6" max="6" width="10.88671875" style="253" customWidth="1"/>
    <col min="7" max="7" width="11" style="253" customWidth="1"/>
    <col min="8" max="8" width="10.44140625" style="253" customWidth="1"/>
    <col min="9" max="9" width="7.88671875" style="253" customWidth="1"/>
    <col min="10" max="16384" width="9.109375" style="253"/>
  </cols>
  <sheetData>
    <row r="2" spans="1:16" s="404" customFormat="1" ht="18" x14ac:dyDescent="0.3">
      <c r="A2" s="403" t="s">
        <v>553</v>
      </c>
      <c r="B2" s="403"/>
      <c r="C2" s="252" t="s">
        <v>597</v>
      </c>
      <c r="D2" s="403"/>
      <c r="E2" s="403"/>
      <c r="F2" s="403"/>
      <c r="G2" s="403"/>
      <c r="H2" s="403"/>
    </row>
    <row r="3" spans="1:16" ht="15.6" x14ac:dyDescent="0.25">
      <c r="A3" s="258"/>
      <c r="B3" s="258"/>
      <c r="C3" s="257"/>
      <c r="D3" s="258"/>
      <c r="E3" s="258"/>
      <c r="F3" s="258"/>
      <c r="G3" s="258"/>
      <c r="H3" s="258"/>
    </row>
    <row r="4" spans="1:16" ht="15.6" x14ac:dyDescent="0.25">
      <c r="C4" s="258" t="s">
        <v>598</v>
      </c>
      <c r="D4" s="258"/>
      <c r="E4" s="258"/>
      <c r="F4" s="258"/>
      <c r="G4" s="258"/>
      <c r="H4" s="258"/>
    </row>
    <row r="5" spans="1:16" ht="15.6" x14ac:dyDescent="0.25">
      <c r="C5" s="258" t="s">
        <v>774</v>
      </c>
      <c r="E5" s="258"/>
      <c r="F5" s="258"/>
      <c r="G5" s="265"/>
      <c r="H5" s="258"/>
      <c r="I5" s="258"/>
      <c r="J5" s="258"/>
      <c r="K5" s="258"/>
      <c r="L5" s="258"/>
      <c r="M5" s="258"/>
      <c r="N5" s="258"/>
      <c r="O5" s="258"/>
      <c r="P5" s="258"/>
    </row>
    <row r="6" spans="1:16" ht="15.6" x14ac:dyDescent="0.25">
      <c r="C6" s="258"/>
      <c r="D6" s="265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</row>
    <row r="7" spans="1:16" ht="15.6" x14ac:dyDescent="0.25">
      <c r="C7" s="258" t="s">
        <v>599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</row>
    <row r="8" spans="1:16" ht="15.6" x14ac:dyDescent="0.25"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</row>
    <row r="9" spans="1:16" ht="15.6" x14ac:dyDescent="0.25">
      <c r="B9" s="264" t="s">
        <v>588</v>
      </c>
      <c r="C9" s="258" t="s">
        <v>13</v>
      </c>
      <c r="D9" s="268">
        <v>241972</v>
      </c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</row>
    <row r="10" spans="1:16" ht="15.6" x14ac:dyDescent="0.25">
      <c r="B10" s="264" t="s">
        <v>588</v>
      </c>
      <c r="C10" s="258" t="s">
        <v>14</v>
      </c>
      <c r="D10" s="268">
        <v>30300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</row>
    <row r="11" spans="1:16" ht="15.6" x14ac:dyDescent="0.25">
      <c r="B11" s="264" t="s">
        <v>588</v>
      </c>
      <c r="C11" s="258" t="s">
        <v>600</v>
      </c>
      <c r="D11" s="268">
        <v>2900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</row>
    <row r="12" spans="1:16" ht="17.399999999999999" x14ac:dyDescent="0.25">
      <c r="B12" s="264" t="s">
        <v>588</v>
      </c>
      <c r="C12" s="258" t="s">
        <v>601</v>
      </c>
      <c r="D12" s="269">
        <v>116006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</row>
    <row r="13" spans="1:16" ht="17.399999999999999" x14ac:dyDescent="0.25">
      <c r="C13" s="263" t="s">
        <v>248</v>
      </c>
      <c r="D13" s="270">
        <f>SUM(D9:D12)</f>
        <v>391178</v>
      </c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</row>
    <row r="14" spans="1:16" ht="15.6" x14ac:dyDescent="0.25"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</row>
    <row r="15" spans="1:16" ht="15.6" x14ac:dyDescent="0.25">
      <c r="B15" s="258"/>
      <c r="C15" s="258" t="s">
        <v>602</v>
      </c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</row>
    <row r="16" spans="1:16" ht="15.6" x14ac:dyDescent="0.25"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</row>
    <row r="17" spans="1:16" ht="46.8" x14ac:dyDescent="0.25">
      <c r="C17" s="271" t="s">
        <v>603</v>
      </c>
      <c r="D17" s="272" t="s">
        <v>13</v>
      </c>
      <c r="E17" s="272" t="s">
        <v>14</v>
      </c>
      <c r="F17" s="272" t="s">
        <v>600</v>
      </c>
      <c r="G17" s="272" t="s">
        <v>604</v>
      </c>
      <c r="H17" s="272" t="s">
        <v>248</v>
      </c>
      <c r="I17" s="258"/>
      <c r="J17" s="258"/>
      <c r="K17" s="258"/>
      <c r="L17" s="258"/>
      <c r="M17" s="258"/>
      <c r="N17" s="258"/>
      <c r="O17" s="258"/>
      <c r="P17" s="258"/>
    </row>
    <row r="18" spans="1:16" ht="31.5" customHeight="1" x14ac:dyDescent="0.25">
      <c r="C18" s="273" t="s">
        <v>605</v>
      </c>
      <c r="D18" s="274">
        <v>241972</v>
      </c>
      <c r="E18" s="274">
        <v>30300</v>
      </c>
      <c r="F18" s="274">
        <v>2900</v>
      </c>
      <c r="G18" s="274">
        <v>116006</v>
      </c>
      <c r="H18" s="274">
        <f>SUM(D18:G18)</f>
        <v>391178</v>
      </c>
      <c r="I18" s="258"/>
      <c r="J18" s="258"/>
      <c r="K18" s="258"/>
      <c r="L18" s="258"/>
      <c r="M18" s="258"/>
      <c r="N18" s="258"/>
      <c r="O18" s="258"/>
      <c r="P18" s="258"/>
    </row>
    <row r="19" spans="1:16" ht="31.5" customHeight="1" x14ac:dyDescent="0.25">
      <c r="C19" s="273" t="s">
        <v>606</v>
      </c>
      <c r="D19" s="274">
        <f>'[1]ריכוז אגפים'!$AJ$35/1000</f>
        <v>159109.375</v>
      </c>
      <c r="E19" s="274">
        <f>'[1]ריכוז אגפים'!$AK$35/1000</f>
        <v>27815</v>
      </c>
      <c r="F19" s="274">
        <f>'[1]ריכוז אגפים'!$AL$35/1000</f>
        <v>2900</v>
      </c>
      <c r="G19" s="274">
        <f>'[2]ריכוז אגפים'!$AM$35/1000</f>
        <v>34413.356</v>
      </c>
      <c r="H19" s="274">
        <f>SUM(D19:G19)</f>
        <v>224237.731</v>
      </c>
      <c r="I19" s="258"/>
      <c r="J19" s="258"/>
      <c r="K19" s="258"/>
      <c r="L19" s="258"/>
      <c r="M19" s="258"/>
      <c r="N19" s="258"/>
      <c r="O19" s="258"/>
      <c r="P19" s="258"/>
    </row>
    <row r="20" spans="1:16" ht="31.5" customHeight="1" x14ac:dyDescent="0.25">
      <c r="C20" s="273" t="s">
        <v>607</v>
      </c>
      <c r="D20" s="274">
        <f>D19/D18*100</f>
        <v>65.755283669184863</v>
      </c>
      <c r="E20" s="274">
        <f>E19/E18*100</f>
        <v>91.798679867986806</v>
      </c>
      <c r="F20" s="274">
        <f>F19/F18*100</f>
        <v>100</v>
      </c>
      <c r="G20" s="274">
        <f>G19/G18*100</f>
        <v>29.665151802492971</v>
      </c>
      <c r="H20" s="274">
        <f>H19/H18*100</f>
        <v>57.323707110318068</v>
      </c>
      <c r="I20" s="258"/>
      <c r="J20" s="258"/>
      <c r="K20" s="258"/>
      <c r="L20" s="258"/>
      <c r="M20" s="258"/>
      <c r="N20" s="258"/>
      <c r="O20" s="258"/>
      <c r="P20" s="258"/>
    </row>
    <row r="21" spans="1:16" ht="31.5" customHeight="1" x14ac:dyDescent="0.25">
      <c r="C21" s="275" t="s">
        <v>608</v>
      </c>
      <c r="D21" s="274">
        <f>'[1]ריכוז תקציבים מעבר לתוכנית 31.8'!$AG$184/1000</f>
        <v>110261.06299999999</v>
      </c>
      <c r="E21" s="274">
        <f>'[1]ריכוז תקציבים מעבר לתוכנית 31.8'!$AH$184/1000</f>
        <v>11939.5</v>
      </c>
      <c r="F21" s="274"/>
      <c r="G21" s="274">
        <f>'[1]ריכוז תקציבים מעבר לתוכנית 31.8'!$AI$184/1000</f>
        <v>15390.02</v>
      </c>
      <c r="H21" s="274">
        <f>SUM(D21:G21)</f>
        <v>137590.58299999998</v>
      </c>
      <c r="I21" s="258"/>
      <c r="J21" s="258"/>
      <c r="K21" s="258"/>
      <c r="L21" s="258"/>
      <c r="M21" s="258"/>
      <c r="N21" s="258"/>
      <c r="O21" s="258"/>
      <c r="P21" s="258"/>
    </row>
    <row r="22" spans="1:16" ht="31.5" customHeight="1" x14ac:dyDescent="0.25">
      <c r="C22" s="273" t="s">
        <v>609</v>
      </c>
      <c r="D22" s="274">
        <f>D19+D21</f>
        <v>269370.43799999997</v>
      </c>
      <c r="E22" s="274">
        <f>E19+E21</f>
        <v>39754.5</v>
      </c>
      <c r="F22" s="274">
        <f>F19+F21</f>
        <v>2900</v>
      </c>
      <c r="G22" s="274">
        <f>G19+G21</f>
        <v>49803.376000000004</v>
      </c>
      <c r="H22" s="274">
        <f>H19+H21</f>
        <v>361828.31400000001</v>
      </c>
      <c r="I22" s="258"/>
      <c r="J22" s="258"/>
      <c r="K22" s="258"/>
      <c r="L22" s="258"/>
      <c r="M22" s="258"/>
      <c r="N22" s="258"/>
      <c r="O22" s="258"/>
      <c r="P22" s="258"/>
    </row>
    <row r="23" spans="1:16" ht="31.5" customHeight="1" x14ac:dyDescent="0.25">
      <c r="C23" s="273" t="s">
        <v>607</v>
      </c>
      <c r="D23" s="274">
        <f>D22/D18*100</f>
        <v>111.32297869174946</v>
      </c>
      <c r="E23" s="274">
        <f>E22/E18*100</f>
        <v>131.20297029702971</v>
      </c>
      <c r="F23" s="274">
        <f>F22/F18*100</f>
        <v>100</v>
      </c>
      <c r="G23" s="274">
        <f>G22/G18*100</f>
        <v>42.931724221160977</v>
      </c>
      <c r="H23" s="274">
        <f>H22/H18*100</f>
        <v>92.497102086518154</v>
      </c>
      <c r="K23" s="258"/>
      <c r="L23" s="258"/>
      <c r="M23" s="258"/>
      <c r="N23" s="258"/>
      <c r="O23" s="258"/>
      <c r="P23" s="258"/>
    </row>
    <row r="24" spans="1:16" ht="15.6" x14ac:dyDescent="0.25"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</row>
    <row r="25" spans="1:16" ht="15.6" x14ac:dyDescent="0.25">
      <c r="C25" s="258" t="s">
        <v>816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</row>
    <row r="26" spans="1:16" ht="15.6" x14ac:dyDescent="0.25">
      <c r="A26" s="258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</row>
    <row r="27" spans="1:16" ht="15.6" x14ac:dyDescent="0.25">
      <c r="A27" s="258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</row>
    <row r="28" spans="1:16" ht="15.6" x14ac:dyDescent="0.25">
      <c r="A28" s="258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</row>
    <row r="29" spans="1:16" ht="15.6" x14ac:dyDescent="0.25">
      <c r="A29" s="258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</row>
    <row r="30" spans="1:16" ht="15.6" x14ac:dyDescent="0.25">
      <c r="A30" s="258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</row>
    <row r="31" spans="1:16" ht="15.6" x14ac:dyDescent="0.25">
      <c r="A31" s="258"/>
      <c r="B31" s="258"/>
      <c r="C31" s="264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</row>
    <row r="32" spans="1:16" ht="15.6" x14ac:dyDescent="0.25">
      <c r="A32" s="258"/>
      <c r="B32" s="258"/>
      <c r="C32" s="264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</row>
    <row r="33" spans="1:16" ht="15.6" x14ac:dyDescent="0.25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</row>
    <row r="34" spans="1:16" ht="15.6" x14ac:dyDescent="0.25">
      <c r="A34" s="258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</row>
    <row r="35" spans="1:16" ht="15.6" x14ac:dyDescent="0.25">
      <c r="A35" s="258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</row>
    <row r="36" spans="1:16" ht="15.6" x14ac:dyDescent="0.25">
      <c r="A36" s="267"/>
      <c r="B36" s="267"/>
      <c r="C36" s="267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</row>
    <row r="37" spans="1:16" ht="15.6" x14ac:dyDescent="0.25">
      <c r="A37" s="267"/>
      <c r="B37" s="267"/>
      <c r="C37" s="267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</row>
    <row r="38" spans="1:16" ht="15.6" x14ac:dyDescent="0.25">
      <c r="A38" s="267"/>
      <c r="B38" s="267"/>
      <c r="C38" s="267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</row>
    <row r="39" spans="1:16" ht="15.6" x14ac:dyDescent="0.25">
      <c r="A39" s="267"/>
      <c r="B39" s="267"/>
      <c r="C39" s="267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</row>
    <row r="40" spans="1:16" ht="15.6" x14ac:dyDescent="0.25">
      <c r="A40" s="267"/>
      <c r="B40" s="267"/>
      <c r="C40" s="267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</row>
    <row r="41" spans="1:16" ht="15.6" x14ac:dyDescent="0.25">
      <c r="A41" s="267"/>
      <c r="B41" s="267"/>
      <c r="C41" s="267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</row>
    <row r="42" spans="1:16" ht="15.6" x14ac:dyDescent="0.25">
      <c r="A42" s="267"/>
      <c r="B42" s="267"/>
      <c r="C42" s="26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</row>
    <row r="43" spans="1:16" ht="15.6" x14ac:dyDescent="0.25"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</row>
    <row r="44" spans="1:16" ht="15.6" x14ac:dyDescent="0.25"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</row>
  </sheetData>
  <sheetProtection algorithmName="SHA-512" hashValue="qywWG1WS2GdR0OzFt/cl9fVBEhzdHY8DA1pL1N1wuMOw9picGcU3FriEXwnZeDuzNP3ESBAdg+qZt9seisnzOQ==" saltValue="BJv/2j7sfDP3I6o/oupSu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60"/>
  <sheetViews>
    <sheetView showZeros="0" rightToLeft="1" zoomScaleNormal="100" workbookViewId="0">
      <pane xSplit="3" ySplit="5" topLeftCell="D98" activePane="bottomRight" state="frozen"/>
      <selection activeCell="E29" sqref="E29"/>
      <selection pane="topRight" activeCell="E29" sqref="E29"/>
      <selection pane="bottomLeft" activeCell="E29" sqref="E29"/>
      <selection pane="bottomRight" activeCell="Y100" sqref="Y100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1.33203125" style="77" customWidth="1"/>
    <col min="4" max="4" width="12.5546875" style="236" customWidth="1"/>
    <col min="5" max="5" width="12.88671875" style="19" customWidth="1"/>
    <col min="6" max="6" width="11.109375" style="19" customWidth="1"/>
    <col min="7" max="10" width="12.6640625" style="19" hidden="1" customWidth="1"/>
    <col min="11" max="11" width="11.33203125" style="19" hidden="1" customWidth="1"/>
    <col min="12" max="12" width="11.33203125" style="19" customWidth="1"/>
    <col min="13" max="13" width="11.109375" style="236" bestFit="1" customWidth="1"/>
    <col min="14" max="14" width="11.109375" style="236" customWidth="1"/>
    <col min="15" max="15" width="11.109375" style="19" customWidth="1"/>
    <col min="16" max="17" width="11.109375" style="19" hidden="1" customWidth="1"/>
    <col min="18" max="19" width="12" style="19" hidden="1" customWidth="1"/>
    <col min="20" max="20" width="10.5546875" style="236" customWidth="1"/>
    <col min="21" max="21" width="10.88671875" style="77" customWidth="1"/>
    <col min="22" max="22" width="11.109375" style="77" customWidth="1"/>
    <col min="23" max="23" width="9" style="21" customWidth="1"/>
    <col min="24" max="24" width="11.88671875" style="21" customWidth="1"/>
    <col min="25" max="25" width="11" style="77" customWidth="1"/>
    <col min="26" max="26" width="7.88671875" style="21" customWidth="1"/>
    <col min="27" max="28" width="9.109375" style="21" customWidth="1"/>
    <col min="29" max="29" width="11.109375" style="21" customWidth="1"/>
    <col min="30" max="31" width="9.109375" style="21" customWidth="1"/>
    <col min="32" max="32" width="1.5546875" style="21" hidden="1" customWidth="1"/>
    <col min="33" max="33" width="10.5546875" style="21" hidden="1" customWidth="1"/>
    <col min="34" max="34" width="11.44140625" style="21" hidden="1" customWidth="1"/>
    <col min="35" max="35" width="9.109375" style="21" customWidth="1"/>
    <col min="36" max="36" width="9.109375" style="21"/>
    <col min="37" max="37" width="10.109375" style="21" customWidth="1"/>
    <col min="38" max="39" width="9.109375" style="21" customWidth="1"/>
    <col min="40" max="16384" width="9.109375" style="21"/>
  </cols>
  <sheetData>
    <row r="2" spans="1:39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39" ht="18" x14ac:dyDescent="0.35">
      <c r="A3" s="450" t="s">
        <v>265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</row>
    <row r="5" spans="1:39" s="58" customFormat="1" ht="86.25" customHeight="1" x14ac:dyDescent="0.25">
      <c r="A5" s="5" t="s">
        <v>0</v>
      </c>
      <c r="B5" s="5" t="s">
        <v>1</v>
      </c>
      <c r="C5" s="214" t="s">
        <v>2</v>
      </c>
      <c r="D5" s="214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169" t="s">
        <v>492</v>
      </c>
      <c r="N5" s="214" t="s">
        <v>299</v>
      </c>
      <c r="O5" s="5" t="s">
        <v>300</v>
      </c>
      <c r="P5" s="5" t="s">
        <v>12</v>
      </c>
      <c r="Q5" s="5" t="s">
        <v>301</v>
      </c>
      <c r="R5" s="5" t="s">
        <v>302</v>
      </c>
      <c r="S5" s="5" t="s">
        <v>303</v>
      </c>
      <c r="T5" s="214" t="s">
        <v>304</v>
      </c>
      <c r="U5" s="214" t="s">
        <v>305</v>
      </c>
      <c r="V5" s="214" t="s">
        <v>13</v>
      </c>
      <c r="W5" s="5" t="s">
        <v>14</v>
      </c>
      <c r="X5" s="5" t="s">
        <v>15</v>
      </c>
      <c r="Y5" s="214" t="s">
        <v>223</v>
      </c>
      <c r="Z5" s="5" t="s">
        <v>16</v>
      </c>
      <c r="AF5" s="106"/>
      <c r="AG5" s="106" t="s">
        <v>546</v>
      </c>
      <c r="AH5" s="106" t="s">
        <v>547</v>
      </c>
    </row>
    <row r="6" spans="1:39" s="8" customFormat="1" x14ac:dyDescent="0.25">
      <c r="A6" s="10"/>
      <c r="B6" s="10"/>
      <c r="C6" s="69"/>
      <c r="D6" s="215"/>
      <c r="E6" s="57"/>
      <c r="F6" s="57"/>
      <c r="G6" s="57"/>
      <c r="H6" s="57"/>
      <c r="I6" s="57"/>
      <c r="J6" s="57"/>
      <c r="K6" s="57"/>
      <c r="L6" s="57"/>
      <c r="M6" s="215"/>
      <c r="N6" s="215"/>
      <c r="O6" s="57"/>
      <c r="P6" s="57"/>
      <c r="Q6" s="57"/>
      <c r="R6" s="57"/>
      <c r="S6" s="57"/>
      <c r="T6" s="215"/>
      <c r="U6" s="215"/>
      <c r="V6" s="215"/>
      <c r="W6" s="57"/>
      <c r="X6" s="57"/>
      <c r="Y6" s="69"/>
      <c r="Z6" s="10"/>
      <c r="AF6" s="6"/>
      <c r="AG6" s="6"/>
      <c r="AH6" s="6"/>
    </row>
    <row r="7" spans="1:39" s="8" customFormat="1" x14ac:dyDescent="0.25">
      <c r="A7" s="6">
        <f>A6+1</f>
        <v>1</v>
      </c>
      <c r="B7" s="6">
        <v>1402</v>
      </c>
      <c r="C7" s="14" t="s">
        <v>213</v>
      </c>
      <c r="D7" s="15">
        <v>6500000</v>
      </c>
      <c r="E7" s="7">
        <v>6500000</v>
      </c>
      <c r="F7" s="7">
        <f>D7-E7</f>
        <v>0</v>
      </c>
      <c r="G7" s="7">
        <v>6500000</v>
      </c>
      <c r="H7" s="7">
        <v>2294901</v>
      </c>
      <c r="I7" s="7">
        <v>3212194</v>
      </c>
      <c r="J7" s="7"/>
      <c r="K7" s="7">
        <f>SUM(I7:J7)</f>
        <v>3212194</v>
      </c>
      <c r="L7" s="7">
        <f>H7+K7</f>
        <v>5507095</v>
      </c>
      <c r="M7" s="15">
        <f>P7+S7</f>
        <v>992905</v>
      </c>
      <c r="N7" s="15"/>
      <c r="O7" s="7">
        <f>D7-L7-M7-N7</f>
        <v>0</v>
      </c>
      <c r="P7" s="7">
        <f>G7-L7</f>
        <v>992905</v>
      </c>
      <c r="Q7" s="7"/>
      <c r="R7" s="15"/>
      <c r="S7" s="7">
        <f>SUM(Q7:R7)</f>
        <v>0</v>
      </c>
      <c r="T7" s="15">
        <f>P7-M7+S7</f>
        <v>0</v>
      </c>
      <c r="U7" s="15">
        <f>N7-T7</f>
        <v>0</v>
      </c>
      <c r="V7" s="15">
        <f>U7-W7-X7-Y7</f>
        <v>0</v>
      </c>
      <c r="W7" s="7"/>
      <c r="X7" s="7"/>
      <c r="Y7" s="14"/>
      <c r="Z7" s="6">
        <v>714000</v>
      </c>
      <c r="AF7" s="6"/>
      <c r="AG7" s="7"/>
      <c r="AH7" s="7">
        <f>V7-AG7</f>
        <v>0</v>
      </c>
    </row>
    <row r="8" spans="1:39" s="13" customFormat="1" ht="15.6" x14ac:dyDescent="0.25">
      <c r="A8" s="11"/>
      <c r="B8" s="11"/>
      <c r="C8" s="241">
        <v>71</v>
      </c>
      <c r="D8" s="217">
        <f>SUM(D7)</f>
        <v>6500000</v>
      </c>
      <c r="E8" s="217">
        <f t="shared" ref="E8:Y8" si="0">SUM(E7)</f>
        <v>6500000</v>
      </c>
      <c r="F8" s="217">
        <f t="shared" si="0"/>
        <v>0</v>
      </c>
      <c r="G8" s="217">
        <f t="shared" si="0"/>
        <v>6500000</v>
      </c>
      <c r="H8" s="217">
        <f t="shared" si="0"/>
        <v>2294901</v>
      </c>
      <c r="I8" s="217">
        <f t="shared" si="0"/>
        <v>3212194</v>
      </c>
      <c r="J8" s="217">
        <f t="shared" si="0"/>
        <v>0</v>
      </c>
      <c r="K8" s="217">
        <f t="shared" si="0"/>
        <v>3212194</v>
      </c>
      <c r="L8" s="217">
        <f t="shared" si="0"/>
        <v>5507095</v>
      </c>
      <c r="M8" s="217">
        <f t="shared" si="0"/>
        <v>992905</v>
      </c>
      <c r="N8" s="217">
        <f t="shared" si="0"/>
        <v>0</v>
      </c>
      <c r="O8" s="217">
        <f t="shared" si="0"/>
        <v>0</v>
      </c>
      <c r="P8" s="217">
        <f t="shared" si="0"/>
        <v>992905</v>
      </c>
      <c r="Q8" s="217">
        <f t="shared" si="0"/>
        <v>0</v>
      </c>
      <c r="R8" s="217">
        <f t="shared" si="0"/>
        <v>0</v>
      </c>
      <c r="S8" s="217">
        <f t="shared" si="0"/>
        <v>0</v>
      </c>
      <c r="T8" s="217">
        <f t="shared" si="0"/>
        <v>0</v>
      </c>
      <c r="U8" s="217">
        <f t="shared" si="0"/>
        <v>0</v>
      </c>
      <c r="V8" s="217">
        <f t="shared" si="0"/>
        <v>0</v>
      </c>
      <c r="W8" s="217">
        <f t="shared" si="0"/>
        <v>0</v>
      </c>
      <c r="X8" s="217">
        <f t="shared" si="0"/>
        <v>0</v>
      </c>
      <c r="Y8" s="217">
        <f t="shared" si="0"/>
        <v>0</v>
      </c>
      <c r="Z8" s="11"/>
      <c r="AF8" s="11"/>
      <c r="AG8" s="12"/>
      <c r="AH8" s="12"/>
    </row>
    <row r="9" spans="1:39" s="8" customFormat="1" x14ac:dyDescent="0.25">
      <c r="A9" s="6"/>
      <c r="B9" s="6"/>
      <c r="C9" s="14"/>
      <c r="D9" s="15"/>
      <c r="E9" s="7"/>
      <c r="F9" s="7"/>
      <c r="G9" s="7"/>
      <c r="H9" s="7"/>
      <c r="I9" s="7"/>
      <c r="J9" s="7"/>
      <c r="K9" s="7"/>
      <c r="L9" s="7"/>
      <c r="M9" s="15"/>
      <c r="N9" s="15"/>
      <c r="O9" s="7"/>
      <c r="P9" s="7"/>
      <c r="Q9" s="7"/>
      <c r="R9" s="15"/>
      <c r="S9" s="7"/>
      <c r="T9" s="15"/>
      <c r="U9" s="15"/>
      <c r="V9" s="15"/>
      <c r="W9" s="7"/>
      <c r="X9" s="7"/>
      <c r="Y9" s="14"/>
      <c r="Z9" s="6"/>
      <c r="AF9" s="6"/>
      <c r="AG9" s="7"/>
      <c r="AH9" s="7"/>
    </row>
    <row r="10" spans="1:39" s="8" customFormat="1" x14ac:dyDescent="0.25">
      <c r="A10" s="6">
        <f>A7+1</f>
        <v>2</v>
      </c>
      <c r="B10" s="6">
        <v>634</v>
      </c>
      <c r="C10" s="14" t="s">
        <v>207</v>
      </c>
      <c r="D10" s="15">
        <v>57250000</v>
      </c>
      <c r="E10" s="7">
        <v>57250000</v>
      </c>
      <c r="F10" s="7">
        <f t="shared" ref="F10:F17" si="1">D10-E10</f>
        <v>0</v>
      </c>
      <c r="G10" s="7">
        <f>49950000+800000</f>
        <v>50750000</v>
      </c>
      <c r="H10" s="7">
        <v>46664300</v>
      </c>
      <c r="I10" s="7">
        <v>2533007</v>
      </c>
      <c r="J10" s="7">
        <v>1553.41</v>
      </c>
      <c r="K10" s="7">
        <f t="shared" ref="K10:K17" si="2">SUM(I10:J10)</f>
        <v>2534560.41</v>
      </c>
      <c r="L10" s="7">
        <f t="shared" ref="L10:L17" si="3">H10+K10</f>
        <v>49198860.409999996</v>
      </c>
      <c r="M10" s="15">
        <f t="shared" ref="M10:M17" si="4">P10+S10</f>
        <v>8051139.5900000036</v>
      </c>
      <c r="N10" s="15"/>
      <c r="O10" s="7">
        <f t="shared" ref="O10:O17" si="5">D10-L10-M10-N10</f>
        <v>0</v>
      </c>
      <c r="P10" s="7">
        <f t="shared" ref="P10:P17" si="6">G10-L10</f>
        <v>1551139.5900000036</v>
      </c>
      <c r="Q10" s="152">
        <f>7300000-800000</f>
        <v>6500000</v>
      </c>
      <c r="R10" s="15"/>
      <c r="S10" s="7">
        <f t="shared" ref="S10:S17" si="7">SUM(Q10:R10)</f>
        <v>6500000</v>
      </c>
      <c r="T10" s="15">
        <f t="shared" ref="T10:T17" si="8">P10-M10+S10</f>
        <v>0</v>
      </c>
      <c r="U10" s="15">
        <f t="shared" ref="U10:U17" si="9">N10-T10</f>
        <v>0</v>
      </c>
      <c r="V10" s="15">
        <f>U10-W10-X10-Y10</f>
        <v>0</v>
      </c>
      <c r="W10" s="7"/>
      <c r="X10" s="7"/>
      <c r="Y10" s="14"/>
      <c r="Z10" s="6">
        <v>732000</v>
      </c>
      <c r="AB10" s="9"/>
      <c r="AC10" s="9"/>
      <c r="AD10" s="9"/>
      <c r="AE10" s="9"/>
      <c r="AF10" s="3"/>
      <c r="AG10" s="3"/>
      <c r="AH10" s="7">
        <f t="shared" ref="AH10:AH17" si="10">V10-AG10</f>
        <v>0</v>
      </c>
      <c r="AI10" s="9"/>
      <c r="AJ10" s="9"/>
      <c r="AK10" s="9"/>
      <c r="AL10" s="9"/>
      <c r="AM10" s="9"/>
    </row>
    <row r="11" spans="1:39" s="9" customFormat="1" x14ac:dyDescent="0.25">
      <c r="A11" s="6">
        <f t="shared" ref="A11:A17" si="11">A10+1</f>
        <v>3</v>
      </c>
      <c r="B11" s="14">
        <v>1723</v>
      </c>
      <c r="C11" s="14" t="s">
        <v>675</v>
      </c>
      <c r="D11" s="15">
        <f>9500000+2500000</f>
        <v>12000000</v>
      </c>
      <c r="E11" s="15">
        <v>9500000</v>
      </c>
      <c r="F11" s="7">
        <f t="shared" si="1"/>
        <v>2500000</v>
      </c>
      <c r="G11" s="15">
        <v>2000000</v>
      </c>
      <c r="H11" s="15">
        <v>55825</v>
      </c>
      <c r="I11" s="15">
        <v>518178.25</v>
      </c>
      <c r="J11" s="15"/>
      <c r="K11" s="15">
        <f t="shared" si="2"/>
        <v>518178.25</v>
      </c>
      <c r="L11" s="15">
        <f t="shared" si="3"/>
        <v>574003.25</v>
      </c>
      <c r="M11" s="15">
        <f t="shared" si="4"/>
        <v>1425996.75</v>
      </c>
      <c r="N11" s="15">
        <v>10000000</v>
      </c>
      <c r="O11" s="15">
        <f t="shared" si="5"/>
        <v>0</v>
      </c>
      <c r="P11" s="15">
        <f t="shared" si="6"/>
        <v>1425996.75</v>
      </c>
      <c r="Q11" s="15"/>
      <c r="R11" s="15"/>
      <c r="S11" s="15">
        <f t="shared" si="7"/>
        <v>0</v>
      </c>
      <c r="T11" s="15">
        <f t="shared" si="8"/>
        <v>0</v>
      </c>
      <c r="U11" s="15">
        <f t="shared" si="9"/>
        <v>10000000</v>
      </c>
      <c r="V11" s="15">
        <f>U11-W11-X11-Y11</f>
        <v>1500000</v>
      </c>
      <c r="W11" s="15"/>
      <c r="X11" s="15"/>
      <c r="Y11" s="15">
        <v>8500000</v>
      </c>
      <c r="Z11" s="14">
        <v>732000</v>
      </c>
      <c r="AA11" s="16"/>
      <c r="AB11" s="16"/>
      <c r="AC11" s="16"/>
      <c r="AD11" s="16"/>
      <c r="AE11" s="16"/>
      <c r="AF11" s="14"/>
      <c r="AG11" s="7"/>
      <c r="AH11" s="7">
        <f t="shared" si="10"/>
        <v>1500000</v>
      </c>
      <c r="AI11" s="16"/>
      <c r="AJ11" s="16"/>
      <c r="AK11" s="16"/>
      <c r="AL11" s="16"/>
      <c r="AM11" s="16"/>
    </row>
    <row r="12" spans="1:39" s="9" customFormat="1" x14ac:dyDescent="0.25">
      <c r="A12" s="6">
        <f t="shared" si="11"/>
        <v>4</v>
      </c>
      <c r="B12" s="14">
        <v>1749</v>
      </c>
      <c r="C12" s="14" t="s">
        <v>69</v>
      </c>
      <c r="D12" s="15">
        <v>5000000</v>
      </c>
      <c r="E12" s="15">
        <v>5000000</v>
      </c>
      <c r="F12" s="7">
        <f t="shared" si="1"/>
        <v>0</v>
      </c>
      <c r="G12" s="15">
        <v>500000</v>
      </c>
      <c r="H12" s="15">
        <v>0</v>
      </c>
      <c r="I12" s="15">
        <v>760.5</v>
      </c>
      <c r="J12" s="15"/>
      <c r="K12" s="15">
        <f t="shared" si="2"/>
        <v>760.5</v>
      </c>
      <c r="L12" s="15">
        <f t="shared" si="3"/>
        <v>760.5</v>
      </c>
      <c r="M12" s="15">
        <f t="shared" si="4"/>
        <v>499239.5</v>
      </c>
      <c r="N12" s="15">
        <f>1000000-500000</f>
        <v>500000</v>
      </c>
      <c r="O12" s="15">
        <f t="shared" si="5"/>
        <v>4000000</v>
      </c>
      <c r="P12" s="15">
        <f t="shared" si="6"/>
        <v>499239.5</v>
      </c>
      <c r="Q12" s="15"/>
      <c r="R12" s="15"/>
      <c r="S12" s="15">
        <f t="shared" si="7"/>
        <v>0</v>
      </c>
      <c r="T12" s="15">
        <f t="shared" si="8"/>
        <v>0</v>
      </c>
      <c r="U12" s="15">
        <f t="shared" si="9"/>
        <v>500000</v>
      </c>
      <c r="V12" s="15">
        <f>U12-Y12-W12-X12</f>
        <v>500000</v>
      </c>
      <c r="W12" s="15"/>
      <c r="X12" s="15"/>
      <c r="Y12" s="14"/>
      <c r="Z12" s="14">
        <v>732000</v>
      </c>
      <c r="AA12" s="16"/>
      <c r="AB12" s="16"/>
      <c r="AC12" s="16"/>
      <c r="AD12" s="16"/>
      <c r="AE12" s="16"/>
      <c r="AF12" s="14"/>
      <c r="AG12" s="7"/>
      <c r="AH12" s="7">
        <f t="shared" si="10"/>
        <v>500000</v>
      </c>
      <c r="AI12" s="16"/>
      <c r="AJ12" s="16"/>
      <c r="AK12" s="16"/>
      <c r="AL12" s="16"/>
      <c r="AM12" s="16"/>
    </row>
    <row r="13" spans="1:39" s="9" customFormat="1" x14ac:dyDescent="0.25">
      <c r="A13" s="6">
        <f t="shared" si="11"/>
        <v>5</v>
      </c>
      <c r="B13" s="14">
        <v>1750</v>
      </c>
      <c r="C13" s="14" t="s">
        <v>70</v>
      </c>
      <c r="D13" s="15">
        <v>5000000</v>
      </c>
      <c r="E13" s="15">
        <v>5000000</v>
      </c>
      <c r="F13" s="7">
        <f t="shared" si="1"/>
        <v>0</v>
      </c>
      <c r="G13" s="15">
        <v>500000</v>
      </c>
      <c r="H13" s="15">
        <v>0</v>
      </c>
      <c r="I13" s="15"/>
      <c r="J13" s="15"/>
      <c r="K13" s="15">
        <f t="shared" si="2"/>
        <v>0</v>
      </c>
      <c r="L13" s="15">
        <f t="shared" si="3"/>
        <v>0</v>
      </c>
      <c r="M13" s="15">
        <f t="shared" si="4"/>
        <v>500000</v>
      </c>
      <c r="N13" s="15">
        <f>1000000-500000</f>
        <v>500000</v>
      </c>
      <c r="O13" s="15">
        <f t="shared" si="5"/>
        <v>4000000</v>
      </c>
      <c r="P13" s="15">
        <f t="shared" si="6"/>
        <v>500000</v>
      </c>
      <c r="Q13" s="15"/>
      <c r="R13" s="15"/>
      <c r="S13" s="15">
        <f t="shared" si="7"/>
        <v>0</v>
      </c>
      <c r="T13" s="15">
        <f t="shared" si="8"/>
        <v>0</v>
      </c>
      <c r="U13" s="15">
        <f t="shared" si="9"/>
        <v>500000</v>
      </c>
      <c r="V13" s="15">
        <f>U13-Y13-W13-X13</f>
        <v>500000</v>
      </c>
      <c r="W13" s="15"/>
      <c r="X13" s="15"/>
      <c r="Y13" s="14"/>
      <c r="Z13" s="14">
        <v>732000</v>
      </c>
      <c r="AA13" s="16"/>
      <c r="AB13" s="16"/>
      <c r="AC13" s="16"/>
      <c r="AD13" s="16"/>
      <c r="AE13" s="16"/>
      <c r="AF13" s="14"/>
      <c r="AG13" s="7"/>
      <c r="AH13" s="7">
        <f t="shared" si="10"/>
        <v>500000</v>
      </c>
      <c r="AI13" s="16"/>
      <c r="AJ13" s="16"/>
      <c r="AK13" s="16"/>
      <c r="AL13" s="16"/>
      <c r="AM13" s="16"/>
    </row>
    <row r="14" spans="1:39" s="9" customFormat="1" ht="15" customHeight="1" x14ac:dyDescent="0.25">
      <c r="A14" s="6">
        <f t="shared" si="11"/>
        <v>6</v>
      </c>
      <c r="B14" s="6">
        <v>1806</v>
      </c>
      <c r="C14" s="14" t="s">
        <v>340</v>
      </c>
      <c r="D14" s="15">
        <v>500000</v>
      </c>
      <c r="E14" s="7">
        <v>500000</v>
      </c>
      <c r="F14" s="7">
        <f t="shared" si="1"/>
        <v>0</v>
      </c>
      <c r="G14" s="7">
        <v>200000</v>
      </c>
      <c r="H14" s="7">
        <v>55809</v>
      </c>
      <c r="I14" s="7">
        <v>143325</v>
      </c>
      <c r="J14" s="7"/>
      <c r="K14" s="7">
        <f t="shared" si="2"/>
        <v>143325</v>
      </c>
      <c r="L14" s="7">
        <f t="shared" si="3"/>
        <v>199134</v>
      </c>
      <c r="M14" s="15">
        <f t="shared" si="4"/>
        <v>150866</v>
      </c>
      <c r="N14" s="15"/>
      <c r="O14" s="7">
        <f t="shared" si="5"/>
        <v>150000</v>
      </c>
      <c r="P14" s="7">
        <f t="shared" si="6"/>
        <v>866</v>
      </c>
      <c r="Q14" s="197">
        <v>150000</v>
      </c>
      <c r="R14" s="15"/>
      <c r="S14" s="7">
        <f t="shared" si="7"/>
        <v>150000</v>
      </c>
      <c r="T14" s="15">
        <f t="shared" si="8"/>
        <v>0</v>
      </c>
      <c r="U14" s="15">
        <f t="shared" si="9"/>
        <v>0</v>
      </c>
      <c r="V14" s="15">
        <f>U14-W14-X14-Y14</f>
        <v>0</v>
      </c>
      <c r="W14" s="7"/>
      <c r="X14" s="7"/>
      <c r="Y14" s="14"/>
      <c r="Z14" s="6">
        <v>732000</v>
      </c>
      <c r="AA14" s="8"/>
      <c r="AB14" s="17"/>
      <c r="AC14" s="17"/>
      <c r="AD14" s="17"/>
      <c r="AE14" s="17"/>
      <c r="AF14" s="60"/>
      <c r="AG14" s="7"/>
      <c r="AH14" s="7">
        <f t="shared" si="10"/>
        <v>0</v>
      </c>
      <c r="AI14" s="17"/>
      <c r="AJ14" s="17"/>
      <c r="AK14" s="17"/>
      <c r="AL14" s="17"/>
      <c r="AM14" s="17"/>
    </row>
    <row r="15" spans="1:39" s="9" customFormat="1" ht="15" customHeight="1" x14ac:dyDescent="0.25">
      <c r="A15" s="6">
        <f t="shared" si="11"/>
        <v>7</v>
      </c>
      <c r="B15" s="61">
        <v>1846</v>
      </c>
      <c r="C15" s="14" t="s">
        <v>331</v>
      </c>
      <c r="D15" s="15">
        <v>2500000</v>
      </c>
      <c r="E15" s="7">
        <v>2500000</v>
      </c>
      <c r="F15" s="7">
        <f t="shared" si="1"/>
        <v>0</v>
      </c>
      <c r="G15" s="7">
        <v>500000</v>
      </c>
      <c r="H15" s="7">
        <v>15502</v>
      </c>
      <c r="I15" s="7">
        <v>484497</v>
      </c>
      <c r="J15" s="7"/>
      <c r="K15" s="7">
        <f t="shared" si="2"/>
        <v>484497</v>
      </c>
      <c r="L15" s="7">
        <f t="shared" si="3"/>
        <v>499999</v>
      </c>
      <c r="M15" s="15">
        <f t="shared" si="4"/>
        <v>2000001</v>
      </c>
      <c r="N15" s="15"/>
      <c r="O15" s="7">
        <f t="shared" si="5"/>
        <v>0</v>
      </c>
      <c r="P15" s="7">
        <f t="shared" si="6"/>
        <v>1</v>
      </c>
      <c r="Q15" s="7"/>
      <c r="R15" s="197">
        <v>2000000</v>
      </c>
      <c r="S15" s="7">
        <f t="shared" si="7"/>
        <v>2000000</v>
      </c>
      <c r="T15" s="15">
        <f t="shared" si="8"/>
        <v>0</v>
      </c>
      <c r="U15" s="15">
        <f t="shared" si="9"/>
        <v>0</v>
      </c>
      <c r="V15" s="15">
        <f>U15-W15-X15-Y15</f>
        <v>0</v>
      </c>
      <c r="W15" s="7"/>
      <c r="X15" s="7"/>
      <c r="Y15" s="14"/>
      <c r="Z15" s="6">
        <v>732000</v>
      </c>
      <c r="AA15" s="13"/>
      <c r="AB15" s="17"/>
      <c r="AC15" s="17"/>
      <c r="AD15" s="17"/>
      <c r="AE15" s="17"/>
      <c r="AF15" s="167"/>
      <c r="AG15" s="167"/>
      <c r="AH15" s="7">
        <f t="shared" si="10"/>
        <v>0</v>
      </c>
      <c r="AI15" s="21"/>
      <c r="AJ15" s="21"/>
      <c r="AK15" s="21"/>
      <c r="AL15" s="21"/>
      <c r="AM15" s="21"/>
    </row>
    <row r="16" spans="1:39" s="8" customFormat="1" ht="15" customHeight="1" x14ac:dyDescent="0.25">
      <c r="A16" s="6">
        <f t="shared" si="11"/>
        <v>8</v>
      </c>
      <c r="B16" s="61">
        <v>1936</v>
      </c>
      <c r="C16" s="14" t="s">
        <v>713</v>
      </c>
      <c r="D16" s="15">
        <v>6082795</v>
      </c>
      <c r="E16" s="7">
        <v>5198540</v>
      </c>
      <c r="F16" s="7">
        <f t="shared" si="1"/>
        <v>884255</v>
      </c>
      <c r="G16" s="7">
        <v>0</v>
      </c>
      <c r="H16" s="7">
        <v>0</v>
      </c>
      <c r="I16" s="7"/>
      <c r="J16" s="7"/>
      <c r="K16" s="7">
        <f t="shared" si="2"/>
        <v>0</v>
      </c>
      <c r="L16" s="7">
        <f t="shared" si="3"/>
        <v>0</v>
      </c>
      <c r="M16" s="15">
        <f t="shared" si="4"/>
        <v>0</v>
      </c>
      <c r="N16" s="15">
        <v>6082795</v>
      </c>
      <c r="O16" s="7">
        <f t="shared" si="5"/>
        <v>0</v>
      </c>
      <c r="P16" s="7">
        <f t="shared" si="6"/>
        <v>0</v>
      </c>
      <c r="Q16" s="7"/>
      <c r="R16" s="7"/>
      <c r="S16" s="7">
        <f t="shared" si="7"/>
        <v>0</v>
      </c>
      <c r="T16" s="15">
        <f t="shared" si="8"/>
        <v>0</v>
      </c>
      <c r="U16" s="15">
        <f t="shared" si="9"/>
        <v>6082795</v>
      </c>
      <c r="V16" s="15">
        <f>U16-W16-X16-Y16</f>
        <v>0</v>
      </c>
      <c r="W16" s="7"/>
      <c r="X16" s="7"/>
      <c r="Y16" s="15">
        <v>6082795</v>
      </c>
      <c r="Z16" s="6">
        <v>732000</v>
      </c>
      <c r="AA16" s="13"/>
      <c r="AB16" s="17"/>
      <c r="AC16" s="17"/>
      <c r="AD16" s="17"/>
      <c r="AE16" s="17"/>
      <c r="AF16" s="167"/>
      <c r="AG16" s="167"/>
      <c r="AH16" s="7">
        <f t="shared" si="10"/>
        <v>0</v>
      </c>
      <c r="AI16" s="21"/>
      <c r="AJ16" s="21"/>
      <c r="AK16" s="227"/>
      <c r="AL16" s="21"/>
      <c r="AM16" s="21"/>
    </row>
    <row r="17" spans="1:39" s="9" customFormat="1" ht="15" customHeight="1" x14ac:dyDescent="0.25">
      <c r="A17" s="6">
        <f t="shared" si="11"/>
        <v>9</v>
      </c>
      <c r="B17" s="61">
        <v>1940</v>
      </c>
      <c r="C17" s="14" t="s">
        <v>410</v>
      </c>
      <c r="D17" s="15">
        <v>186000</v>
      </c>
      <c r="E17" s="7">
        <v>186000</v>
      </c>
      <c r="F17" s="7">
        <f t="shared" si="1"/>
        <v>0</v>
      </c>
      <c r="G17" s="7">
        <v>0</v>
      </c>
      <c r="H17" s="7">
        <v>0</v>
      </c>
      <c r="I17" s="7"/>
      <c r="J17" s="7"/>
      <c r="K17" s="7">
        <f t="shared" si="2"/>
        <v>0</v>
      </c>
      <c r="L17" s="7">
        <f t="shared" si="3"/>
        <v>0</v>
      </c>
      <c r="M17" s="15">
        <f t="shared" si="4"/>
        <v>186000</v>
      </c>
      <c r="N17" s="15"/>
      <c r="O17" s="7">
        <f t="shared" si="5"/>
        <v>0</v>
      </c>
      <c r="P17" s="7">
        <f t="shared" si="6"/>
        <v>0</v>
      </c>
      <c r="Q17" s="7"/>
      <c r="R17" s="7">
        <v>186000</v>
      </c>
      <c r="S17" s="7">
        <f t="shared" si="7"/>
        <v>186000</v>
      </c>
      <c r="T17" s="15">
        <f t="shared" si="8"/>
        <v>0</v>
      </c>
      <c r="U17" s="15">
        <f t="shared" si="9"/>
        <v>0</v>
      </c>
      <c r="V17" s="15">
        <f>U17-W17-X17-Y17</f>
        <v>0</v>
      </c>
      <c r="W17" s="7"/>
      <c r="X17" s="7"/>
      <c r="Y17" s="14"/>
      <c r="Z17" s="6">
        <v>732000</v>
      </c>
      <c r="AA17" s="13"/>
      <c r="AB17" s="17"/>
      <c r="AC17" s="17"/>
      <c r="AD17" s="17"/>
      <c r="AE17" s="17"/>
      <c r="AF17" s="167"/>
      <c r="AG17" s="167"/>
      <c r="AH17" s="7">
        <f t="shared" si="10"/>
        <v>0</v>
      </c>
      <c r="AI17" s="21"/>
      <c r="AJ17" s="21"/>
      <c r="AK17" s="227"/>
      <c r="AL17" s="21"/>
      <c r="AM17" s="21"/>
    </row>
    <row r="18" spans="1:39" s="13" customFormat="1" ht="15" customHeight="1" x14ac:dyDescent="0.3">
      <c r="A18" s="11"/>
      <c r="B18" s="387"/>
      <c r="C18" s="241">
        <v>73</v>
      </c>
      <c r="D18" s="217">
        <f>SUM(D10:D17)</f>
        <v>88518795</v>
      </c>
      <c r="E18" s="217">
        <f t="shared" ref="E18:Y18" si="12">SUM(E10:E17)</f>
        <v>85134540</v>
      </c>
      <c r="F18" s="217">
        <f t="shared" si="12"/>
        <v>3384255</v>
      </c>
      <c r="G18" s="217">
        <f t="shared" si="12"/>
        <v>54450000</v>
      </c>
      <c r="H18" s="217">
        <f t="shared" si="12"/>
        <v>46791436</v>
      </c>
      <c r="I18" s="217">
        <f t="shared" si="12"/>
        <v>3679767.75</v>
      </c>
      <c r="J18" s="217">
        <f t="shared" si="12"/>
        <v>1553.41</v>
      </c>
      <c r="K18" s="217">
        <f t="shared" si="12"/>
        <v>3681321.16</v>
      </c>
      <c r="L18" s="217">
        <f t="shared" si="12"/>
        <v>50472757.159999996</v>
      </c>
      <c r="M18" s="217">
        <f t="shared" si="12"/>
        <v>12813242.840000004</v>
      </c>
      <c r="N18" s="217">
        <f t="shared" si="12"/>
        <v>17082795</v>
      </c>
      <c r="O18" s="217">
        <f t="shared" si="12"/>
        <v>8150000</v>
      </c>
      <c r="P18" s="217">
        <f t="shared" si="12"/>
        <v>3977242.8400000036</v>
      </c>
      <c r="Q18" s="217">
        <f t="shared" si="12"/>
        <v>6650000</v>
      </c>
      <c r="R18" s="217">
        <f t="shared" si="12"/>
        <v>2186000</v>
      </c>
      <c r="S18" s="217">
        <f t="shared" si="12"/>
        <v>8836000</v>
      </c>
      <c r="T18" s="217">
        <f t="shared" si="12"/>
        <v>0</v>
      </c>
      <c r="U18" s="217">
        <f t="shared" si="12"/>
        <v>17082795</v>
      </c>
      <c r="V18" s="217">
        <f t="shared" si="12"/>
        <v>2500000</v>
      </c>
      <c r="W18" s="217">
        <f t="shared" si="12"/>
        <v>0</v>
      </c>
      <c r="X18" s="217">
        <f t="shared" si="12"/>
        <v>0</v>
      </c>
      <c r="Y18" s="217">
        <f t="shared" si="12"/>
        <v>14582795</v>
      </c>
      <c r="Z18" s="11"/>
      <c r="AB18" s="388"/>
      <c r="AC18" s="388"/>
      <c r="AD18" s="388"/>
      <c r="AE18" s="388"/>
      <c r="AF18" s="389"/>
      <c r="AG18" s="389"/>
      <c r="AH18" s="12"/>
      <c r="AI18" s="390"/>
      <c r="AJ18" s="390"/>
      <c r="AK18" s="218"/>
      <c r="AL18" s="390"/>
      <c r="AM18" s="390"/>
    </row>
    <row r="19" spans="1:39" s="9" customFormat="1" ht="15" customHeight="1" x14ac:dyDescent="0.25">
      <c r="A19" s="6"/>
      <c r="B19" s="61"/>
      <c r="C19" s="14"/>
      <c r="D19" s="15"/>
      <c r="E19" s="7"/>
      <c r="F19" s="7"/>
      <c r="G19" s="7"/>
      <c r="H19" s="7"/>
      <c r="I19" s="7"/>
      <c r="J19" s="7"/>
      <c r="K19" s="7"/>
      <c r="L19" s="7"/>
      <c r="M19" s="15"/>
      <c r="N19" s="15"/>
      <c r="O19" s="7"/>
      <c r="P19" s="7"/>
      <c r="Q19" s="7"/>
      <c r="R19" s="7"/>
      <c r="S19" s="7"/>
      <c r="T19" s="15"/>
      <c r="U19" s="15"/>
      <c r="V19" s="15"/>
      <c r="W19" s="7"/>
      <c r="X19" s="7"/>
      <c r="Y19" s="14"/>
      <c r="Z19" s="6"/>
      <c r="AA19" s="13"/>
      <c r="AB19" s="17"/>
      <c r="AC19" s="17"/>
      <c r="AD19" s="17"/>
      <c r="AE19" s="17"/>
      <c r="AF19" s="167"/>
      <c r="AG19" s="167"/>
      <c r="AH19" s="7"/>
      <c r="AI19" s="21"/>
      <c r="AJ19" s="21"/>
      <c r="AK19" s="227"/>
      <c r="AL19" s="21"/>
      <c r="AM19" s="21"/>
    </row>
    <row r="20" spans="1:39" s="9" customFormat="1" x14ac:dyDescent="0.25">
      <c r="A20" s="6">
        <f>A17+1</f>
        <v>10</v>
      </c>
      <c r="B20" s="6">
        <v>382</v>
      </c>
      <c r="C20" s="14" t="s">
        <v>202</v>
      </c>
      <c r="D20" s="15">
        <f>39881930+4400000+1500000</f>
        <v>45781930</v>
      </c>
      <c r="E20" s="7">
        <v>39881930</v>
      </c>
      <c r="F20" s="7">
        <f t="shared" ref="F20:F62" si="13">D20-E20</f>
        <v>5900000</v>
      </c>
      <c r="G20" s="7">
        <v>32181330</v>
      </c>
      <c r="H20" s="7">
        <v>29672522.18</v>
      </c>
      <c r="I20" s="7">
        <v>1028474.32</v>
      </c>
      <c r="J20" s="7"/>
      <c r="K20" s="7">
        <f t="shared" ref="K20:K50" si="14">SUM(I20:J20)</f>
        <v>1028474.32</v>
      </c>
      <c r="L20" s="7">
        <f t="shared" ref="L20:L50" si="15">H20+K20</f>
        <v>30700996.5</v>
      </c>
      <c r="M20" s="15">
        <f>P20+S20</f>
        <v>6180333.5</v>
      </c>
      <c r="N20" s="15">
        <f>7400600+1500000</f>
        <v>8900600</v>
      </c>
      <c r="O20" s="7">
        <f t="shared" ref="O20:O62" si="16">D20-L20-M20-N20</f>
        <v>0</v>
      </c>
      <c r="P20" s="7">
        <f t="shared" ref="P20:P51" si="17">G20-L20</f>
        <v>1480333.5</v>
      </c>
      <c r="Q20" s="7"/>
      <c r="R20" s="197">
        <v>4700000</v>
      </c>
      <c r="S20" s="7">
        <f t="shared" ref="S20:S50" si="18">SUM(Q20:R20)</f>
        <v>4700000</v>
      </c>
      <c r="T20" s="15">
        <f t="shared" ref="T20:T50" si="19">P20-M20+S20</f>
        <v>0</v>
      </c>
      <c r="U20" s="15">
        <f t="shared" ref="U20:U62" si="20">N20-T20</f>
        <v>8900600</v>
      </c>
      <c r="V20" s="15">
        <f t="shared" ref="V20:V30" si="21">U20-W20-X20-Y20</f>
        <v>8900600</v>
      </c>
      <c r="W20" s="7"/>
      <c r="X20" s="7"/>
      <c r="Y20" s="14"/>
      <c r="Z20" s="6">
        <v>742000</v>
      </c>
      <c r="AA20" s="8"/>
      <c r="AB20" s="8"/>
      <c r="AC20" s="8"/>
      <c r="AD20" s="8"/>
      <c r="AE20" s="8"/>
      <c r="AF20" s="6"/>
      <c r="AG20" s="6"/>
      <c r="AH20" s="7">
        <f t="shared" ref="AH20:AH62" si="22">V20-AG20</f>
        <v>8900600</v>
      </c>
      <c r="AI20" s="8"/>
      <c r="AJ20" s="8"/>
      <c r="AK20" s="8"/>
      <c r="AL20" s="8"/>
      <c r="AM20" s="8"/>
    </row>
    <row r="21" spans="1:39" s="9" customFormat="1" x14ac:dyDescent="0.25">
      <c r="A21" s="6">
        <f>A20+1</f>
        <v>11</v>
      </c>
      <c r="B21" s="6">
        <v>437</v>
      </c>
      <c r="C21" s="14" t="s">
        <v>203</v>
      </c>
      <c r="D21" s="15">
        <v>11000000</v>
      </c>
      <c r="E21" s="7">
        <v>11000000</v>
      </c>
      <c r="F21" s="7">
        <f t="shared" si="13"/>
        <v>0</v>
      </c>
      <c r="G21" s="7">
        <v>9595000</v>
      </c>
      <c r="H21" s="7">
        <v>9356216.4100000001</v>
      </c>
      <c r="I21" s="7"/>
      <c r="J21" s="7"/>
      <c r="K21" s="7">
        <f t="shared" si="14"/>
        <v>0</v>
      </c>
      <c r="L21" s="7">
        <f t="shared" si="15"/>
        <v>9356216.4100000001</v>
      </c>
      <c r="M21" s="15">
        <f>P21+S21</f>
        <v>1643783.5899999999</v>
      </c>
      <c r="N21" s="15"/>
      <c r="O21" s="7">
        <f t="shared" si="16"/>
        <v>0</v>
      </c>
      <c r="P21" s="7">
        <f t="shared" si="17"/>
        <v>238783.58999999985</v>
      </c>
      <c r="Q21" s="197">
        <v>1405000</v>
      </c>
      <c r="R21" s="15"/>
      <c r="S21" s="7">
        <f t="shared" si="18"/>
        <v>1405000</v>
      </c>
      <c r="T21" s="15">
        <f t="shared" si="19"/>
        <v>0</v>
      </c>
      <c r="U21" s="15">
        <f t="shared" si="20"/>
        <v>0</v>
      </c>
      <c r="V21" s="15">
        <f t="shared" si="21"/>
        <v>0</v>
      </c>
      <c r="W21" s="7"/>
      <c r="X21" s="7"/>
      <c r="Y21" s="14"/>
      <c r="Z21" s="6">
        <v>742000</v>
      </c>
      <c r="AA21" s="8"/>
      <c r="AB21" s="8"/>
      <c r="AC21" s="8"/>
      <c r="AD21" s="8"/>
      <c r="AE21" s="8"/>
      <c r="AF21" s="6"/>
      <c r="AG21" s="6"/>
      <c r="AH21" s="7">
        <f t="shared" si="22"/>
        <v>0</v>
      </c>
      <c r="AI21" s="8"/>
      <c r="AJ21" s="8"/>
      <c r="AK21" s="8"/>
      <c r="AL21" s="8"/>
      <c r="AM21" s="8"/>
    </row>
    <row r="22" spans="1:39" s="8" customFormat="1" x14ac:dyDescent="0.25">
      <c r="A22" s="6">
        <f>A21+1</f>
        <v>12</v>
      </c>
      <c r="B22" s="6">
        <v>439</v>
      </c>
      <c r="C22" s="14" t="s">
        <v>204</v>
      </c>
      <c r="D22" s="15">
        <f>17325000-234197</f>
        <v>17090803</v>
      </c>
      <c r="E22" s="7">
        <v>17325000</v>
      </c>
      <c r="F22" s="7">
        <f t="shared" si="13"/>
        <v>-234197</v>
      </c>
      <c r="G22" s="7">
        <v>17325000</v>
      </c>
      <c r="H22" s="7">
        <v>16320219</v>
      </c>
      <c r="I22" s="7">
        <v>70583.8</v>
      </c>
      <c r="J22" s="7"/>
      <c r="K22" s="7">
        <f t="shared" si="14"/>
        <v>70583.8</v>
      </c>
      <c r="L22" s="7">
        <f t="shared" si="15"/>
        <v>16390802.800000001</v>
      </c>
      <c r="M22" s="15">
        <f>P22+S22-234197</f>
        <v>700000.19999999925</v>
      </c>
      <c r="N22" s="15"/>
      <c r="O22" s="7">
        <f t="shared" si="16"/>
        <v>0</v>
      </c>
      <c r="P22" s="7">
        <f t="shared" si="17"/>
        <v>934197.19999999925</v>
      </c>
      <c r="Q22" s="7"/>
      <c r="R22" s="15"/>
      <c r="S22" s="7">
        <f t="shared" si="18"/>
        <v>0</v>
      </c>
      <c r="T22" s="15">
        <f t="shared" si="19"/>
        <v>234197</v>
      </c>
      <c r="U22" s="15">
        <f t="shared" si="20"/>
        <v>-234197</v>
      </c>
      <c r="V22" s="15">
        <f t="shared" si="21"/>
        <v>-234197</v>
      </c>
      <c r="W22" s="7"/>
      <c r="X22" s="7"/>
      <c r="Y22" s="14"/>
      <c r="Z22" s="6">
        <v>742000</v>
      </c>
      <c r="AB22" s="9"/>
      <c r="AC22" s="9"/>
      <c r="AD22" s="9"/>
      <c r="AE22" s="9"/>
      <c r="AF22" s="3"/>
      <c r="AG22" s="3"/>
      <c r="AH22" s="7">
        <f t="shared" si="22"/>
        <v>-234197</v>
      </c>
      <c r="AI22" s="9"/>
      <c r="AJ22" s="9"/>
      <c r="AK22" s="9"/>
      <c r="AL22" s="9"/>
      <c r="AM22" s="9"/>
    </row>
    <row r="23" spans="1:39" s="8" customFormat="1" x14ac:dyDescent="0.25">
      <c r="A23" s="6">
        <f t="shared" ref="A23:A62" si="23">A22+1</f>
        <v>13</v>
      </c>
      <c r="B23" s="6">
        <v>532</v>
      </c>
      <c r="C23" s="14" t="s">
        <v>205</v>
      </c>
      <c r="D23" s="15">
        <v>80090000</v>
      </c>
      <c r="E23" s="7">
        <v>80090000</v>
      </c>
      <c r="F23" s="7">
        <f t="shared" si="13"/>
        <v>0</v>
      </c>
      <c r="G23" s="7">
        <v>58690000</v>
      </c>
      <c r="H23" s="7">
        <v>51942899.969999999</v>
      </c>
      <c r="I23" s="7">
        <v>6205297.6200000001</v>
      </c>
      <c r="J23" s="7">
        <v>1180.55</v>
      </c>
      <c r="K23" s="7">
        <f t="shared" si="14"/>
        <v>6206478.1699999999</v>
      </c>
      <c r="L23" s="7">
        <f t="shared" si="15"/>
        <v>58149378.140000001</v>
      </c>
      <c r="M23" s="15">
        <f t="shared" ref="M23:M51" si="24">P23+S23</f>
        <v>10540621.859999999</v>
      </c>
      <c r="N23" s="15">
        <f>11400000-5000000</f>
        <v>6400000</v>
      </c>
      <c r="O23" s="7">
        <f t="shared" si="16"/>
        <v>5000000</v>
      </c>
      <c r="P23" s="7">
        <f t="shared" si="17"/>
        <v>540621.8599999994</v>
      </c>
      <c r="Q23" s="197">
        <v>10000000</v>
      </c>
      <c r="R23" s="15"/>
      <c r="S23" s="7">
        <f t="shared" si="18"/>
        <v>10000000</v>
      </c>
      <c r="T23" s="15">
        <f t="shared" si="19"/>
        <v>0</v>
      </c>
      <c r="U23" s="15">
        <f t="shared" si="20"/>
        <v>6400000</v>
      </c>
      <c r="V23" s="15">
        <f t="shared" si="21"/>
        <v>6400000</v>
      </c>
      <c r="W23" s="7"/>
      <c r="X23" s="7"/>
      <c r="Y23" s="14"/>
      <c r="Z23" s="6">
        <v>742000</v>
      </c>
      <c r="AB23" s="9"/>
      <c r="AC23" s="9"/>
      <c r="AD23" s="9"/>
      <c r="AE23" s="9"/>
      <c r="AF23" s="3"/>
      <c r="AG23" s="3"/>
      <c r="AH23" s="7">
        <f t="shared" si="22"/>
        <v>6400000</v>
      </c>
      <c r="AI23" s="9"/>
      <c r="AJ23" s="9"/>
      <c r="AK23" s="9"/>
      <c r="AL23" s="9"/>
      <c r="AM23" s="9"/>
    </row>
    <row r="24" spans="1:39" s="9" customFormat="1" x14ac:dyDescent="0.25">
      <c r="A24" s="6">
        <f t="shared" si="23"/>
        <v>14</v>
      </c>
      <c r="B24" s="6">
        <v>642</v>
      </c>
      <c r="C24" s="14" t="s">
        <v>208</v>
      </c>
      <c r="D24" s="15">
        <v>15780000</v>
      </c>
      <c r="E24" s="7">
        <v>15780000</v>
      </c>
      <c r="F24" s="7">
        <f t="shared" si="13"/>
        <v>0</v>
      </c>
      <c r="G24" s="7">
        <f>14880000+500000</f>
        <v>15380000</v>
      </c>
      <c r="H24" s="7">
        <v>13469675.880000001</v>
      </c>
      <c r="I24" s="7">
        <v>910080.21</v>
      </c>
      <c r="J24" s="7"/>
      <c r="K24" s="7">
        <f t="shared" si="14"/>
        <v>910080.21</v>
      </c>
      <c r="L24" s="7">
        <f t="shared" si="15"/>
        <v>14379756.09</v>
      </c>
      <c r="M24" s="15">
        <f t="shared" si="24"/>
        <v>1400243.9100000001</v>
      </c>
      <c r="N24" s="15"/>
      <c r="O24" s="7">
        <f t="shared" si="16"/>
        <v>0</v>
      </c>
      <c r="P24" s="7">
        <f t="shared" si="17"/>
        <v>1000243.9100000001</v>
      </c>
      <c r="Q24" s="150">
        <f>900000-500000</f>
        <v>400000</v>
      </c>
      <c r="R24" s="15"/>
      <c r="S24" s="7">
        <f t="shared" si="18"/>
        <v>400000</v>
      </c>
      <c r="T24" s="15">
        <f t="shared" si="19"/>
        <v>0</v>
      </c>
      <c r="U24" s="15">
        <f t="shared" si="20"/>
        <v>0</v>
      </c>
      <c r="V24" s="15">
        <f t="shared" si="21"/>
        <v>0</v>
      </c>
      <c r="W24" s="7"/>
      <c r="X24" s="7"/>
      <c r="Y24" s="14"/>
      <c r="Z24" s="6">
        <v>742000</v>
      </c>
      <c r="AA24" s="8"/>
      <c r="AF24" s="3"/>
      <c r="AG24" s="7"/>
      <c r="AH24" s="7">
        <f t="shared" si="22"/>
        <v>0</v>
      </c>
    </row>
    <row r="25" spans="1:39" s="8" customFormat="1" x14ac:dyDescent="0.25">
      <c r="A25" s="6">
        <f t="shared" si="23"/>
        <v>15</v>
      </c>
      <c r="B25" s="6">
        <v>1067</v>
      </c>
      <c r="C25" s="14" t="s">
        <v>209</v>
      </c>
      <c r="D25" s="15">
        <f>3075000+500000</f>
        <v>3575000</v>
      </c>
      <c r="E25" s="7">
        <v>3075000</v>
      </c>
      <c r="F25" s="7">
        <f t="shared" si="13"/>
        <v>500000</v>
      </c>
      <c r="G25" s="7">
        <f>2575000+100000</f>
        <v>2675000</v>
      </c>
      <c r="H25" s="7">
        <v>2398366.44</v>
      </c>
      <c r="I25" s="7">
        <v>175934.72</v>
      </c>
      <c r="J25" s="7"/>
      <c r="K25" s="7">
        <f t="shared" si="14"/>
        <v>175934.72</v>
      </c>
      <c r="L25" s="7">
        <f t="shared" si="15"/>
        <v>2574301.16</v>
      </c>
      <c r="M25" s="15">
        <f t="shared" si="24"/>
        <v>500698.83999999985</v>
      </c>
      <c r="N25" s="15">
        <v>500000</v>
      </c>
      <c r="O25" s="7">
        <f t="shared" si="16"/>
        <v>0</v>
      </c>
      <c r="P25" s="7">
        <f t="shared" si="17"/>
        <v>100698.83999999985</v>
      </c>
      <c r="Q25" s="152">
        <f>500000-100000</f>
        <v>400000</v>
      </c>
      <c r="R25" s="15"/>
      <c r="S25" s="7">
        <f t="shared" si="18"/>
        <v>400000</v>
      </c>
      <c r="T25" s="15">
        <f t="shared" si="19"/>
        <v>0</v>
      </c>
      <c r="U25" s="15">
        <f t="shared" si="20"/>
        <v>500000</v>
      </c>
      <c r="V25" s="15">
        <f t="shared" si="21"/>
        <v>500000</v>
      </c>
      <c r="W25" s="7"/>
      <c r="X25" s="7"/>
      <c r="Y25" s="14"/>
      <c r="Z25" s="6">
        <v>742000</v>
      </c>
      <c r="AF25" s="6"/>
      <c r="AG25" s="7"/>
      <c r="AH25" s="7">
        <f t="shared" si="22"/>
        <v>500000</v>
      </c>
    </row>
    <row r="26" spans="1:39" s="8" customFormat="1" x14ac:dyDescent="0.25">
      <c r="A26" s="6">
        <f t="shared" si="23"/>
        <v>16</v>
      </c>
      <c r="B26" s="6">
        <v>1207</v>
      </c>
      <c r="C26" s="14" t="s">
        <v>210</v>
      </c>
      <c r="D26" s="15">
        <v>32500000</v>
      </c>
      <c r="E26" s="7">
        <v>32500000</v>
      </c>
      <c r="F26" s="7">
        <f t="shared" si="13"/>
        <v>0</v>
      </c>
      <c r="G26" s="7">
        <v>17800000</v>
      </c>
      <c r="H26" s="7">
        <v>17799797.899999999</v>
      </c>
      <c r="I26" s="7"/>
      <c r="J26" s="7">
        <v>201.48</v>
      </c>
      <c r="K26" s="7">
        <f t="shared" si="14"/>
        <v>201.48</v>
      </c>
      <c r="L26" s="7">
        <f t="shared" si="15"/>
        <v>17799999.379999999</v>
      </c>
      <c r="M26" s="15">
        <f t="shared" si="24"/>
        <v>0.62000000104308128</v>
      </c>
      <c r="N26" s="15">
        <f>2000000-1000000-1000000</f>
        <v>0</v>
      </c>
      <c r="O26" s="7">
        <f t="shared" si="16"/>
        <v>14700000</v>
      </c>
      <c r="P26" s="7">
        <f t="shared" si="17"/>
        <v>0.62000000104308128</v>
      </c>
      <c r="Q26" s="7"/>
      <c r="R26" s="15"/>
      <c r="S26" s="7">
        <f t="shared" si="18"/>
        <v>0</v>
      </c>
      <c r="T26" s="15">
        <f t="shared" si="19"/>
        <v>0</v>
      </c>
      <c r="U26" s="15">
        <f t="shared" si="20"/>
        <v>0</v>
      </c>
      <c r="V26" s="15">
        <f t="shared" si="21"/>
        <v>0</v>
      </c>
      <c r="W26" s="7"/>
      <c r="X26" s="7"/>
      <c r="Y26" s="14"/>
      <c r="Z26" s="6">
        <v>742000</v>
      </c>
      <c r="AB26" s="9"/>
      <c r="AC26" s="9"/>
      <c r="AD26" s="9"/>
      <c r="AE26" s="9"/>
      <c r="AF26" s="3"/>
      <c r="AG26" s="7"/>
      <c r="AH26" s="232">
        <f t="shared" si="22"/>
        <v>0</v>
      </c>
      <c r="AI26" s="9"/>
      <c r="AJ26" s="9"/>
      <c r="AK26" s="9"/>
      <c r="AL26" s="9"/>
      <c r="AM26" s="9"/>
    </row>
    <row r="27" spans="1:39" s="8" customFormat="1" x14ac:dyDescent="0.25">
      <c r="A27" s="6">
        <f t="shared" si="23"/>
        <v>17</v>
      </c>
      <c r="B27" s="6">
        <v>1238</v>
      </c>
      <c r="C27" s="14" t="s">
        <v>211</v>
      </c>
      <c r="D27" s="15">
        <v>32940000</v>
      </c>
      <c r="E27" s="7">
        <v>32940000</v>
      </c>
      <c r="F27" s="7">
        <f t="shared" si="13"/>
        <v>0</v>
      </c>
      <c r="G27" s="7">
        <v>23940000</v>
      </c>
      <c r="H27" s="7">
        <v>23512804.199999999</v>
      </c>
      <c r="I27" s="7">
        <v>422754.24</v>
      </c>
      <c r="J27" s="7">
        <v>1184.04</v>
      </c>
      <c r="K27" s="7">
        <f t="shared" si="14"/>
        <v>423938.27999999997</v>
      </c>
      <c r="L27" s="7">
        <f t="shared" si="15"/>
        <v>23936742.48</v>
      </c>
      <c r="M27" s="15">
        <f t="shared" si="24"/>
        <v>2503257.5199999996</v>
      </c>
      <c r="N27" s="15">
        <f>3600000-3600000</f>
        <v>0</v>
      </c>
      <c r="O27" s="7">
        <f t="shared" si="16"/>
        <v>6500000</v>
      </c>
      <c r="P27" s="7">
        <f t="shared" si="17"/>
        <v>3257.519999999553</v>
      </c>
      <c r="Q27" s="7"/>
      <c r="R27" s="152">
        <v>2500000</v>
      </c>
      <c r="S27" s="7">
        <f t="shared" si="18"/>
        <v>2500000</v>
      </c>
      <c r="T27" s="15">
        <f t="shared" si="19"/>
        <v>0</v>
      </c>
      <c r="U27" s="15">
        <f t="shared" si="20"/>
        <v>0</v>
      </c>
      <c r="V27" s="15">
        <f t="shared" si="21"/>
        <v>0</v>
      </c>
      <c r="W27" s="7"/>
      <c r="X27" s="7"/>
      <c r="Y27" s="14"/>
      <c r="Z27" s="6">
        <v>742000</v>
      </c>
      <c r="AB27" s="9"/>
      <c r="AC27" s="9"/>
      <c r="AD27" s="9"/>
      <c r="AE27" s="9"/>
      <c r="AF27" s="3"/>
      <c r="AG27" s="7"/>
      <c r="AH27" s="7">
        <f t="shared" si="22"/>
        <v>0</v>
      </c>
      <c r="AI27" s="9"/>
      <c r="AJ27" s="9"/>
      <c r="AK27" s="9"/>
      <c r="AL27" s="9"/>
      <c r="AM27" s="9"/>
    </row>
    <row r="28" spans="1:39" s="8" customFormat="1" x14ac:dyDescent="0.25">
      <c r="A28" s="6">
        <f t="shared" si="23"/>
        <v>18</v>
      </c>
      <c r="B28" s="6">
        <v>1298</v>
      </c>
      <c r="C28" s="14" t="s">
        <v>53</v>
      </c>
      <c r="D28" s="15">
        <f>3100000+500000</f>
        <v>3600000</v>
      </c>
      <c r="E28" s="7">
        <v>3100000</v>
      </c>
      <c r="F28" s="7">
        <f t="shared" si="13"/>
        <v>500000</v>
      </c>
      <c r="G28" s="7">
        <f>2700000+100000</f>
        <v>2800000</v>
      </c>
      <c r="H28" s="7">
        <v>2408798.25</v>
      </c>
      <c r="I28" s="7">
        <v>187511.43</v>
      </c>
      <c r="J28" s="7">
        <v>2634</v>
      </c>
      <c r="K28" s="7">
        <f t="shared" si="14"/>
        <v>190145.43</v>
      </c>
      <c r="L28" s="7">
        <f t="shared" si="15"/>
        <v>2598943.6800000002</v>
      </c>
      <c r="M28" s="15">
        <f t="shared" si="24"/>
        <v>501056.31999999983</v>
      </c>
      <c r="N28" s="15">
        <v>500000</v>
      </c>
      <c r="O28" s="7">
        <f t="shared" si="16"/>
        <v>0</v>
      </c>
      <c r="P28" s="7">
        <f t="shared" si="17"/>
        <v>201056.31999999983</v>
      </c>
      <c r="Q28" s="197">
        <f>400000-100000</f>
        <v>300000</v>
      </c>
      <c r="R28" s="15"/>
      <c r="S28" s="7">
        <f t="shared" si="18"/>
        <v>300000</v>
      </c>
      <c r="T28" s="15">
        <f t="shared" si="19"/>
        <v>0</v>
      </c>
      <c r="U28" s="15">
        <f t="shared" si="20"/>
        <v>500000</v>
      </c>
      <c r="V28" s="15">
        <f t="shared" si="21"/>
        <v>500000</v>
      </c>
      <c r="W28" s="7"/>
      <c r="X28" s="7"/>
      <c r="Y28" s="14"/>
      <c r="Z28" s="6">
        <v>742000</v>
      </c>
      <c r="AB28" s="9"/>
      <c r="AC28" s="9"/>
      <c r="AD28" s="9"/>
      <c r="AE28" s="9"/>
      <c r="AF28" s="3"/>
      <c r="AG28" s="7"/>
      <c r="AH28" s="7">
        <f t="shared" si="22"/>
        <v>500000</v>
      </c>
      <c r="AI28" s="9"/>
      <c r="AJ28" s="9"/>
      <c r="AK28" s="9"/>
      <c r="AL28" s="9"/>
      <c r="AM28" s="9"/>
    </row>
    <row r="29" spans="1:39" s="8" customFormat="1" x14ac:dyDescent="0.25">
      <c r="A29" s="6">
        <f t="shared" si="23"/>
        <v>19</v>
      </c>
      <c r="B29" s="6">
        <v>1446</v>
      </c>
      <c r="C29" s="14" t="s">
        <v>494</v>
      </c>
      <c r="D29" s="15">
        <v>14250000</v>
      </c>
      <c r="E29" s="7">
        <v>14250000</v>
      </c>
      <c r="F29" s="7">
        <f t="shared" si="13"/>
        <v>0</v>
      </c>
      <c r="G29" s="7">
        <v>5000000</v>
      </c>
      <c r="H29" s="7">
        <v>1897075.42</v>
      </c>
      <c r="I29" s="7">
        <v>3017169.83</v>
      </c>
      <c r="J29" s="7">
        <v>1.1599999999999999</v>
      </c>
      <c r="K29" s="7">
        <f t="shared" si="14"/>
        <v>3017170.99</v>
      </c>
      <c r="L29" s="7">
        <f t="shared" si="15"/>
        <v>4914246.41</v>
      </c>
      <c r="M29" s="15">
        <f t="shared" si="24"/>
        <v>85753.589999999851</v>
      </c>
      <c r="N29" s="15">
        <f>9250000-9250000</f>
        <v>0</v>
      </c>
      <c r="O29" s="7">
        <f t="shared" si="16"/>
        <v>9250000</v>
      </c>
      <c r="P29" s="7">
        <f t="shared" si="17"/>
        <v>85753.589999999851</v>
      </c>
      <c r="Q29" s="7"/>
      <c r="R29" s="15"/>
      <c r="S29" s="7">
        <f t="shared" si="18"/>
        <v>0</v>
      </c>
      <c r="T29" s="15">
        <f t="shared" si="19"/>
        <v>0</v>
      </c>
      <c r="U29" s="15">
        <f t="shared" si="20"/>
        <v>0</v>
      </c>
      <c r="V29" s="15">
        <f t="shared" si="21"/>
        <v>0</v>
      </c>
      <c r="W29" s="7"/>
      <c r="X29" s="7"/>
      <c r="Y29" s="14"/>
      <c r="Z29" s="6">
        <v>742000</v>
      </c>
      <c r="AF29" s="6"/>
      <c r="AG29" s="7"/>
      <c r="AH29" s="7">
        <f t="shared" si="22"/>
        <v>0</v>
      </c>
    </row>
    <row r="30" spans="1:39" s="8" customFormat="1" x14ac:dyDescent="0.25">
      <c r="A30" s="6">
        <f t="shared" si="23"/>
        <v>20</v>
      </c>
      <c r="B30" s="6">
        <v>1455</v>
      </c>
      <c r="C30" s="14" t="s">
        <v>59</v>
      </c>
      <c r="D30" s="15">
        <v>4500000</v>
      </c>
      <c r="E30" s="7">
        <v>4500000</v>
      </c>
      <c r="F30" s="7">
        <f t="shared" si="13"/>
        <v>0</v>
      </c>
      <c r="G30" s="7">
        <v>4500000</v>
      </c>
      <c r="H30" s="7">
        <v>307504</v>
      </c>
      <c r="I30" s="7">
        <v>4090187</v>
      </c>
      <c r="J30" s="7"/>
      <c r="K30" s="7">
        <f t="shared" si="14"/>
        <v>4090187</v>
      </c>
      <c r="L30" s="7">
        <f t="shared" si="15"/>
        <v>4397691</v>
      </c>
      <c r="M30" s="15">
        <f t="shared" si="24"/>
        <v>102309</v>
      </c>
      <c r="N30" s="15"/>
      <c r="O30" s="7">
        <f t="shared" si="16"/>
        <v>0</v>
      </c>
      <c r="P30" s="7">
        <f t="shared" si="17"/>
        <v>102309</v>
      </c>
      <c r="Q30" s="7"/>
      <c r="R30" s="15"/>
      <c r="S30" s="7">
        <f t="shared" si="18"/>
        <v>0</v>
      </c>
      <c r="T30" s="15">
        <f t="shared" si="19"/>
        <v>0</v>
      </c>
      <c r="U30" s="15">
        <f t="shared" si="20"/>
        <v>0</v>
      </c>
      <c r="V30" s="15">
        <f t="shared" si="21"/>
        <v>0</v>
      </c>
      <c r="W30" s="7"/>
      <c r="X30" s="7"/>
      <c r="Y30" s="14"/>
      <c r="Z30" s="6">
        <v>742000</v>
      </c>
      <c r="AF30" s="6"/>
      <c r="AG30" s="7"/>
      <c r="AH30" s="7">
        <f t="shared" si="22"/>
        <v>0</v>
      </c>
    </row>
    <row r="31" spans="1:39" s="16" customFormat="1" x14ac:dyDescent="0.25">
      <c r="A31" s="6">
        <f t="shared" si="23"/>
        <v>21</v>
      </c>
      <c r="B31" s="14">
        <v>1462</v>
      </c>
      <c r="C31" s="14" t="s">
        <v>673</v>
      </c>
      <c r="D31" s="15">
        <v>4600000</v>
      </c>
      <c r="E31" s="15">
        <v>4600000</v>
      </c>
      <c r="F31" s="7">
        <f t="shared" si="13"/>
        <v>0</v>
      </c>
      <c r="G31" s="15">
        <v>570000</v>
      </c>
      <c r="H31" s="15">
        <v>105529.7</v>
      </c>
      <c r="I31" s="15">
        <v>128304.36</v>
      </c>
      <c r="J31" s="15"/>
      <c r="K31" s="15">
        <f t="shared" si="14"/>
        <v>128304.36</v>
      </c>
      <c r="L31" s="15">
        <f t="shared" si="15"/>
        <v>233834.06</v>
      </c>
      <c r="M31" s="15">
        <f t="shared" si="24"/>
        <v>4366165.9400000004</v>
      </c>
      <c r="N31" s="15"/>
      <c r="O31" s="15">
        <f t="shared" si="16"/>
        <v>0</v>
      </c>
      <c r="P31" s="15">
        <f t="shared" si="17"/>
        <v>336165.94</v>
      </c>
      <c r="Q31" s="197">
        <v>2830000</v>
      </c>
      <c r="R31" s="15">
        <v>1200000</v>
      </c>
      <c r="S31" s="15">
        <f t="shared" si="18"/>
        <v>4030000</v>
      </c>
      <c r="T31" s="15">
        <f t="shared" si="19"/>
        <v>0</v>
      </c>
      <c r="U31" s="15">
        <f t="shared" si="20"/>
        <v>0</v>
      </c>
      <c r="V31" s="15">
        <f>U31-Y31-W31-X31</f>
        <v>0</v>
      </c>
      <c r="W31" s="15"/>
      <c r="X31" s="15"/>
      <c r="Y31" s="14"/>
      <c r="Z31" s="14">
        <v>742000</v>
      </c>
      <c r="AF31" s="14"/>
      <c r="AG31" s="7"/>
      <c r="AH31" s="7">
        <f t="shared" si="22"/>
        <v>0</v>
      </c>
    </row>
    <row r="32" spans="1:39" s="8" customFormat="1" x14ac:dyDescent="0.25">
      <c r="A32" s="6">
        <f t="shared" si="23"/>
        <v>22</v>
      </c>
      <c r="B32" s="6">
        <v>1539</v>
      </c>
      <c r="C32" s="14" t="s">
        <v>61</v>
      </c>
      <c r="D32" s="15">
        <f>29050000-12750000</f>
        <v>16300000</v>
      </c>
      <c r="E32" s="7">
        <v>29050000</v>
      </c>
      <c r="F32" s="7">
        <f t="shared" si="13"/>
        <v>-12750000</v>
      </c>
      <c r="G32" s="7">
        <v>1300000</v>
      </c>
      <c r="H32" s="7">
        <v>530442.37</v>
      </c>
      <c r="I32" s="7">
        <v>476218.11</v>
      </c>
      <c r="J32" s="7">
        <v>103896.1</v>
      </c>
      <c r="K32" s="7">
        <f t="shared" si="14"/>
        <v>580114.21</v>
      </c>
      <c r="L32" s="7">
        <f t="shared" si="15"/>
        <v>1110556.58</v>
      </c>
      <c r="M32" s="15">
        <f t="shared" si="24"/>
        <v>189443.41999999993</v>
      </c>
      <c r="N32" s="15">
        <f>15000000-10000000-2000000</f>
        <v>3000000</v>
      </c>
      <c r="O32" s="7">
        <f t="shared" si="16"/>
        <v>12000000</v>
      </c>
      <c r="P32" s="7">
        <f t="shared" si="17"/>
        <v>189443.41999999993</v>
      </c>
      <c r="Q32" s="7"/>
      <c r="R32" s="15"/>
      <c r="S32" s="7">
        <f t="shared" si="18"/>
        <v>0</v>
      </c>
      <c r="T32" s="15">
        <f t="shared" si="19"/>
        <v>0</v>
      </c>
      <c r="U32" s="15">
        <f t="shared" si="20"/>
        <v>3000000</v>
      </c>
      <c r="V32" s="15">
        <f>U32-W32-X32-Y32</f>
        <v>3000000</v>
      </c>
      <c r="W32" s="7"/>
      <c r="X32" s="7"/>
      <c r="Y32" s="14"/>
      <c r="Z32" s="6">
        <v>742000</v>
      </c>
      <c r="AF32" s="6"/>
      <c r="AG32" s="7"/>
      <c r="AH32" s="232">
        <f t="shared" si="22"/>
        <v>3000000</v>
      </c>
    </row>
    <row r="33" spans="1:39" s="9" customFormat="1" x14ac:dyDescent="0.25">
      <c r="A33" s="6">
        <f t="shared" si="23"/>
        <v>23</v>
      </c>
      <c r="B33" s="14">
        <v>1588</v>
      </c>
      <c r="C33" s="14" t="s">
        <v>44</v>
      </c>
      <c r="D33" s="15">
        <f>40000000+10500000</f>
        <v>50500000</v>
      </c>
      <c r="E33" s="15">
        <v>40000000</v>
      </c>
      <c r="F33" s="7">
        <f t="shared" si="13"/>
        <v>10500000</v>
      </c>
      <c r="G33" s="15">
        <v>3000000</v>
      </c>
      <c r="H33" s="15">
        <v>958520.17</v>
      </c>
      <c r="I33" s="15">
        <v>105059.51</v>
      </c>
      <c r="J33" s="15">
        <v>801012.77</v>
      </c>
      <c r="K33" s="15">
        <f t="shared" si="14"/>
        <v>906072.28</v>
      </c>
      <c r="L33" s="15">
        <f t="shared" si="15"/>
        <v>1864592.4500000002</v>
      </c>
      <c r="M33" s="15">
        <f t="shared" si="24"/>
        <v>1135407.5499999998</v>
      </c>
      <c r="N33" s="15">
        <f>16000000+5500000-5500000-10000000-1000000</f>
        <v>5000000</v>
      </c>
      <c r="O33" s="15">
        <f t="shared" si="16"/>
        <v>42500000</v>
      </c>
      <c r="P33" s="15">
        <f t="shared" si="17"/>
        <v>1135407.5499999998</v>
      </c>
      <c r="Q33" s="15"/>
      <c r="R33" s="15"/>
      <c r="S33" s="15">
        <f t="shared" si="18"/>
        <v>0</v>
      </c>
      <c r="T33" s="15">
        <f t="shared" si="19"/>
        <v>0</v>
      </c>
      <c r="U33" s="15">
        <f t="shared" si="20"/>
        <v>5000000</v>
      </c>
      <c r="V33" s="15">
        <f>U33-Y33-W33-X33</f>
        <v>5000000</v>
      </c>
      <c r="W33" s="15"/>
      <c r="X33" s="15"/>
      <c r="Y33" s="14"/>
      <c r="Z33" s="14">
        <v>742000</v>
      </c>
      <c r="AA33" s="16"/>
      <c r="AB33" s="16"/>
      <c r="AC33" s="16"/>
      <c r="AD33" s="16"/>
      <c r="AE33" s="16"/>
      <c r="AF33" s="14"/>
      <c r="AG33" s="7"/>
      <c r="AH33" s="232">
        <f t="shared" si="22"/>
        <v>5000000</v>
      </c>
      <c r="AI33" s="16"/>
      <c r="AJ33" s="16"/>
      <c r="AK33" s="16"/>
      <c r="AL33" s="16"/>
      <c r="AM33" s="16"/>
    </row>
    <row r="34" spans="1:39" s="9" customFormat="1" ht="27.6" x14ac:dyDescent="0.25">
      <c r="A34" s="6">
        <f t="shared" si="23"/>
        <v>24</v>
      </c>
      <c r="B34" s="14">
        <v>1614</v>
      </c>
      <c r="C34" s="14" t="s">
        <v>674</v>
      </c>
      <c r="D34" s="15">
        <v>7200000</v>
      </c>
      <c r="E34" s="15">
        <v>7200000</v>
      </c>
      <c r="F34" s="7">
        <f t="shared" si="13"/>
        <v>0</v>
      </c>
      <c r="G34" s="15">
        <v>500000</v>
      </c>
      <c r="H34" s="15">
        <v>58635</v>
      </c>
      <c r="I34" s="15">
        <v>26065.26</v>
      </c>
      <c r="J34" s="15">
        <v>4790.92</v>
      </c>
      <c r="K34" s="15">
        <f t="shared" si="14"/>
        <v>30856.18</v>
      </c>
      <c r="L34" s="15">
        <f t="shared" si="15"/>
        <v>89491.18</v>
      </c>
      <c r="M34" s="15">
        <f t="shared" si="24"/>
        <v>410508.82</v>
      </c>
      <c r="N34" s="15">
        <v>3700000</v>
      </c>
      <c r="O34" s="15">
        <f t="shared" si="16"/>
        <v>3000000</v>
      </c>
      <c r="P34" s="15">
        <f t="shared" si="17"/>
        <v>410508.82</v>
      </c>
      <c r="Q34" s="15"/>
      <c r="R34" s="15"/>
      <c r="S34" s="15">
        <f t="shared" si="18"/>
        <v>0</v>
      </c>
      <c r="T34" s="15">
        <f t="shared" si="19"/>
        <v>0</v>
      </c>
      <c r="U34" s="15">
        <f t="shared" si="20"/>
        <v>3700000</v>
      </c>
      <c r="V34" s="15">
        <f>U34-Y34-W34-X34</f>
        <v>3700000</v>
      </c>
      <c r="W34" s="15"/>
      <c r="X34" s="15"/>
      <c r="Y34" s="15"/>
      <c r="Z34" s="14">
        <v>742000</v>
      </c>
      <c r="AA34" s="16"/>
      <c r="AB34" s="16"/>
      <c r="AC34" s="16"/>
      <c r="AD34" s="16"/>
      <c r="AE34" s="16"/>
      <c r="AF34" s="14"/>
      <c r="AG34" s="7"/>
      <c r="AH34" s="232">
        <f t="shared" si="22"/>
        <v>3700000</v>
      </c>
      <c r="AI34" s="16"/>
      <c r="AJ34" s="16"/>
      <c r="AK34" s="16"/>
      <c r="AL34" s="16"/>
      <c r="AM34" s="16"/>
    </row>
    <row r="35" spans="1:39" s="16" customFormat="1" x14ac:dyDescent="0.25">
      <c r="A35" s="6">
        <f t="shared" si="23"/>
        <v>25</v>
      </c>
      <c r="B35" s="14">
        <v>1615</v>
      </c>
      <c r="C35" s="14" t="s">
        <v>318</v>
      </c>
      <c r="D35" s="15">
        <v>27700000</v>
      </c>
      <c r="E35" s="15">
        <v>27700000</v>
      </c>
      <c r="F35" s="7">
        <f t="shared" si="13"/>
        <v>0</v>
      </c>
      <c r="G35" s="15">
        <v>3200000</v>
      </c>
      <c r="H35" s="15">
        <v>289143</v>
      </c>
      <c r="I35" s="15">
        <v>157349.5</v>
      </c>
      <c r="J35" s="15">
        <v>509270.94</v>
      </c>
      <c r="K35" s="15">
        <f t="shared" si="14"/>
        <v>666620.43999999994</v>
      </c>
      <c r="L35" s="15">
        <f t="shared" si="15"/>
        <v>955763.44</v>
      </c>
      <c r="M35" s="15">
        <f t="shared" si="24"/>
        <v>2244236.56</v>
      </c>
      <c r="N35" s="15">
        <f>10000000-8000000+8000000</f>
        <v>10000000</v>
      </c>
      <c r="O35" s="15">
        <f t="shared" si="16"/>
        <v>14500000</v>
      </c>
      <c r="P35" s="15">
        <f t="shared" si="17"/>
        <v>2244236.56</v>
      </c>
      <c r="Q35" s="15"/>
      <c r="R35" s="15"/>
      <c r="S35" s="15">
        <f t="shared" si="18"/>
        <v>0</v>
      </c>
      <c r="T35" s="15">
        <f t="shared" si="19"/>
        <v>0</v>
      </c>
      <c r="U35" s="15">
        <f t="shared" si="20"/>
        <v>10000000</v>
      </c>
      <c r="V35" s="15">
        <f>U35-Y35-W35-X35</f>
        <v>10000000</v>
      </c>
      <c r="W35" s="15"/>
      <c r="X35" s="15"/>
      <c r="Y35" s="15"/>
      <c r="Z35" s="14">
        <v>742000</v>
      </c>
      <c r="AF35" s="14"/>
      <c r="AG35" s="7"/>
      <c r="AH35" s="7">
        <f t="shared" si="22"/>
        <v>10000000</v>
      </c>
    </row>
    <row r="36" spans="1:39" s="8" customFormat="1" x14ac:dyDescent="0.25">
      <c r="A36" s="6">
        <f t="shared" si="23"/>
        <v>26</v>
      </c>
      <c r="B36" s="14">
        <v>1656</v>
      </c>
      <c r="C36" s="14" t="s">
        <v>64</v>
      </c>
      <c r="D36" s="15">
        <v>10800000</v>
      </c>
      <c r="E36" s="15">
        <v>10800000</v>
      </c>
      <c r="F36" s="7">
        <f t="shared" si="13"/>
        <v>0</v>
      </c>
      <c r="G36" s="15">
        <f>1500000+2000000</f>
        <v>3500000</v>
      </c>
      <c r="H36" s="15">
        <v>324600</v>
      </c>
      <c r="I36" s="15">
        <v>737880</v>
      </c>
      <c r="J36" s="15">
        <v>42781.91</v>
      </c>
      <c r="K36" s="15">
        <f t="shared" si="14"/>
        <v>780661.91</v>
      </c>
      <c r="L36" s="15">
        <f t="shared" si="15"/>
        <v>1105261.9100000001</v>
      </c>
      <c r="M36" s="15">
        <f t="shared" si="24"/>
        <v>9694738.0899999999</v>
      </c>
      <c r="N36" s="15"/>
      <c r="O36" s="15">
        <f t="shared" si="16"/>
        <v>0</v>
      </c>
      <c r="P36" s="15">
        <f t="shared" si="17"/>
        <v>2394738.09</v>
      </c>
      <c r="Q36" s="197">
        <f>9300000-2000000</f>
        <v>7300000</v>
      </c>
      <c r="R36" s="15"/>
      <c r="S36" s="15">
        <f t="shared" si="18"/>
        <v>7300000</v>
      </c>
      <c r="T36" s="15">
        <f t="shared" si="19"/>
        <v>0</v>
      </c>
      <c r="U36" s="15">
        <f t="shared" si="20"/>
        <v>0</v>
      </c>
      <c r="V36" s="15">
        <f>U36-W36-X36-Y36</f>
        <v>0</v>
      </c>
      <c r="W36" s="15"/>
      <c r="X36" s="15"/>
      <c r="Y36" s="14"/>
      <c r="Z36" s="14">
        <v>742000</v>
      </c>
      <c r="AA36" s="16"/>
      <c r="AB36" s="16"/>
      <c r="AC36" s="16"/>
      <c r="AD36" s="16"/>
      <c r="AE36" s="16"/>
      <c r="AF36" s="14"/>
      <c r="AG36" s="14"/>
      <c r="AH36" s="7">
        <f t="shared" si="22"/>
        <v>0</v>
      </c>
      <c r="AI36" s="16"/>
      <c r="AJ36" s="16"/>
      <c r="AK36" s="16"/>
      <c r="AL36" s="16"/>
      <c r="AM36" s="16"/>
    </row>
    <row r="37" spans="1:39" s="16" customFormat="1" x14ac:dyDescent="0.25">
      <c r="A37" s="6">
        <f t="shared" si="23"/>
        <v>27</v>
      </c>
      <c r="B37" s="14">
        <v>1657</v>
      </c>
      <c r="C37" s="14" t="s">
        <v>46</v>
      </c>
      <c r="D37" s="15">
        <v>60000000</v>
      </c>
      <c r="E37" s="15">
        <v>60000000</v>
      </c>
      <c r="F37" s="7">
        <f t="shared" si="13"/>
        <v>0</v>
      </c>
      <c r="G37" s="15">
        <v>2700000</v>
      </c>
      <c r="H37" s="15">
        <v>1180914</v>
      </c>
      <c r="I37" s="15">
        <v>497972</v>
      </c>
      <c r="J37" s="15">
        <v>174679.14</v>
      </c>
      <c r="K37" s="15">
        <f t="shared" si="14"/>
        <v>672651.14</v>
      </c>
      <c r="L37" s="15">
        <f t="shared" si="15"/>
        <v>1853565.1400000001</v>
      </c>
      <c r="M37" s="15">
        <f t="shared" si="24"/>
        <v>846434.85999999987</v>
      </c>
      <c r="N37" s="15">
        <f>12000000+2000000-10000000+10000000</f>
        <v>14000000</v>
      </c>
      <c r="O37" s="15">
        <f t="shared" si="16"/>
        <v>43300000</v>
      </c>
      <c r="P37" s="15">
        <f t="shared" si="17"/>
        <v>846434.85999999987</v>
      </c>
      <c r="Q37" s="15"/>
      <c r="R37" s="15"/>
      <c r="S37" s="15">
        <f t="shared" si="18"/>
        <v>0</v>
      </c>
      <c r="T37" s="15">
        <f t="shared" si="19"/>
        <v>0</v>
      </c>
      <c r="U37" s="15">
        <f t="shared" si="20"/>
        <v>14000000</v>
      </c>
      <c r="V37" s="15">
        <f>U37-Y37-W37-X37</f>
        <v>14000000</v>
      </c>
      <c r="W37" s="15"/>
      <c r="X37" s="15"/>
      <c r="Y37" s="15"/>
      <c r="Z37" s="14">
        <v>742000</v>
      </c>
      <c r="AA37" s="70"/>
      <c r="AF37" s="14"/>
      <c r="AG37" s="7"/>
      <c r="AH37" s="7">
        <f t="shared" si="22"/>
        <v>14000000</v>
      </c>
    </row>
    <row r="38" spans="1:39" s="16" customFormat="1" x14ac:dyDescent="0.25">
      <c r="A38" s="6">
        <f t="shared" si="23"/>
        <v>28</v>
      </c>
      <c r="B38" s="14">
        <v>1718</v>
      </c>
      <c r="C38" s="14" t="s">
        <v>89</v>
      </c>
      <c r="D38" s="15">
        <v>13200000</v>
      </c>
      <c r="E38" s="7">
        <v>13200000</v>
      </c>
      <c r="F38" s="7">
        <f t="shared" si="13"/>
        <v>0</v>
      </c>
      <c r="G38" s="7">
        <v>1000000</v>
      </c>
      <c r="H38" s="7">
        <v>63611</v>
      </c>
      <c r="I38" s="7">
        <v>267433</v>
      </c>
      <c r="J38" s="7">
        <v>120535.74</v>
      </c>
      <c r="K38" s="7">
        <f t="shared" si="14"/>
        <v>387968.74</v>
      </c>
      <c r="L38" s="7">
        <f t="shared" si="15"/>
        <v>451579.74</v>
      </c>
      <c r="M38" s="15">
        <f t="shared" si="24"/>
        <v>6648420.2599999998</v>
      </c>
      <c r="N38" s="15">
        <f>4800000-3800000+5100000</f>
        <v>6100000</v>
      </c>
      <c r="O38" s="7">
        <f t="shared" si="16"/>
        <v>0</v>
      </c>
      <c r="P38" s="7">
        <f t="shared" si="17"/>
        <v>548420.26</v>
      </c>
      <c r="Q38" s="197">
        <v>6100000</v>
      </c>
      <c r="R38" s="7"/>
      <c r="S38" s="7">
        <f t="shared" si="18"/>
        <v>6100000</v>
      </c>
      <c r="T38" s="15">
        <f t="shared" si="19"/>
        <v>0</v>
      </c>
      <c r="U38" s="15">
        <f t="shared" si="20"/>
        <v>6100000</v>
      </c>
      <c r="V38" s="15">
        <f>U38-Y38-W38-X38</f>
        <v>6100000</v>
      </c>
      <c r="W38" s="7"/>
      <c r="X38" s="7"/>
      <c r="Y38" s="14"/>
      <c r="Z38" s="14">
        <v>742000</v>
      </c>
      <c r="AF38" s="14"/>
      <c r="AG38" s="7"/>
      <c r="AH38" s="7">
        <f t="shared" si="22"/>
        <v>6100000</v>
      </c>
    </row>
    <row r="39" spans="1:39" s="16" customFormat="1" x14ac:dyDescent="0.25">
      <c r="A39" s="6">
        <f t="shared" si="23"/>
        <v>29</v>
      </c>
      <c r="B39" s="14">
        <v>1720</v>
      </c>
      <c r="C39" s="14" t="s">
        <v>91</v>
      </c>
      <c r="D39" s="15">
        <v>1500000</v>
      </c>
      <c r="E39" s="15">
        <v>1500000</v>
      </c>
      <c r="F39" s="7">
        <f t="shared" si="13"/>
        <v>0</v>
      </c>
      <c r="G39" s="15">
        <v>1500000</v>
      </c>
      <c r="H39" s="15">
        <v>626910</v>
      </c>
      <c r="I39" s="15">
        <v>734773</v>
      </c>
      <c r="J39" s="15"/>
      <c r="K39" s="15">
        <f t="shared" si="14"/>
        <v>734773</v>
      </c>
      <c r="L39" s="15">
        <f t="shared" si="15"/>
        <v>1361683</v>
      </c>
      <c r="M39" s="15">
        <f t="shared" si="24"/>
        <v>138317</v>
      </c>
      <c r="N39" s="15"/>
      <c r="O39" s="15">
        <f t="shared" si="16"/>
        <v>0</v>
      </c>
      <c r="P39" s="15">
        <f t="shared" si="17"/>
        <v>138317</v>
      </c>
      <c r="Q39" s="15"/>
      <c r="R39" s="15"/>
      <c r="S39" s="15">
        <f t="shared" si="18"/>
        <v>0</v>
      </c>
      <c r="T39" s="15">
        <f t="shared" si="19"/>
        <v>0</v>
      </c>
      <c r="U39" s="15">
        <f t="shared" si="20"/>
        <v>0</v>
      </c>
      <c r="V39" s="15">
        <f t="shared" ref="V39:V49" si="25">U39-W39-X39-Y39</f>
        <v>0</v>
      </c>
      <c r="W39" s="15"/>
      <c r="X39" s="15"/>
      <c r="Y39" s="14"/>
      <c r="Z39" s="14">
        <v>742000</v>
      </c>
      <c r="AF39" s="14"/>
      <c r="AG39" s="7"/>
      <c r="AH39" s="7">
        <f t="shared" si="22"/>
        <v>0</v>
      </c>
    </row>
    <row r="40" spans="1:39" s="16" customFormat="1" x14ac:dyDescent="0.25">
      <c r="A40" s="6">
        <f t="shared" si="23"/>
        <v>30</v>
      </c>
      <c r="B40" s="14">
        <v>1727</v>
      </c>
      <c r="C40" s="14" t="s">
        <v>93</v>
      </c>
      <c r="D40" s="15">
        <v>400000</v>
      </c>
      <c r="E40" s="15">
        <v>400000</v>
      </c>
      <c r="F40" s="7">
        <f t="shared" si="13"/>
        <v>0</v>
      </c>
      <c r="G40" s="15">
        <v>400000</v>
      </c>
      <c r="H40" s="15">
        <v>292249</v>
      </c>
      <c r="I40" s="15">
        <v>86789.22</v>
      </c>
      <c r="J40" s="15"/>
      <c r="K40" s="15">
        <f t="shared" si="14"/>
        <v>86789.22</v>
      </c>
      <c r="L40" s="15">
        <f t="shared" si="15"/>
        <v>379038.22</v>
      </c>
      <c r="M40" s="15">
        <f t="shared" si="24"/>
        <v>20961.780000000028</v>
      </c>
      <c r="N40" s="15"/>
      <c r="O40" s="15">
        <f t="shared" si="16"/>
        <v>0</v>
      </c>
      <c r="P40" s="15">
        <f t="shared" si="17"/>
        <v>20961.780000000028</v>
      </c>
      <c r="Q40" s="15"/>
      <c r="R40" s="15"/>
      <c r="S40" s="15">
        <f t="shared" si="18"/>
        <v>0</v>
      </c>
      <c r="T40" s="15">
        <f t="shared" si="19"/>
        <v>0</v>
      </c>
      <c r="U40" s="15">
        <f t="shared" si="20"/>
        <v>0</v>
      </c>
      <c r="V40" s="15">
        <f t="shared" si="25"/>
        <v>0</v>
      </c>
      <c r="W40" s="15"/>
      <c r="X40" s="15"/>
      <c r="Y40" s="14"/>
      <c r="Z40" s="14">
        <v>742000</v>
      </c>
      <c r="AF40" s="14"/>
      <c r="AG40" s="14"/>
      <c r="AH40" s="7">
        <f t="shared" si="22"/>
        <v>0</v>
      </c>
    </row>
    <row r="41" spans="1:39" s="16" customFormat="1" x14ac:dyDescent="0.25">
      <c r="A41" s="6">
        <f t="shared" si="23"/>
        <v>31</v>
      </c>
      <c r="B41" s="14">
        <v>1745</v>
      </c>
      <c r="C41" s="14" t="s">
        <v>71</v>
      </c>
      <c r="D41" s="15">
        <v>2000000</v>
      </c>
      <c r="E41" s="15">
        <v>2000000</v>
      </c>
      <c r="F41" s="7">
        <f t="shared" si="13"/>
        <v>0</v>
      </c>
      <c r="G41" s="15">
        <v>2000000</v>
      </c>
      <c r="H41" s="15">
        <v>0</v>
      </c>
      <c r="I41" s="15"/>
      <c r="J41" s="15"/>
      <c r="K41" s="15">
        <f t="shared" si="14"/>
        <v>0</v>
      </c>
      <c r="L41" s="15">
        <f t="shared" si="15"/>
        <v>0</v>
      </c>
      <c r="M41" s="15">
        <f t="shared" si="24"/>
        <v>2000000</v>
      </c>
      <c r="N41" s="15"/>
      <c r="O41" s="15">
        <f t="shared" si="16"/>
        <v>0</v>
      </c>
      <c r="P41" s="15">
        <f t="shared" si="17"/>
        <v>2000000</v>
      </c>
      <c r="Q41" s="15"/>
      <c r="R41" s="15"/>
      <c r="S41" s="15">
        <f t="shared" si="18"/>
        <v>0</v>
      </c>
      <c r="T41" s="15">
        <f t="shared" si="19"/>
        <v>0</v>
      </c>
      <c r="U41" s="15">
        <f t="shared" si="20"/>
        <v>0</v>
      </c>
      <c r="V41" s="15">
        <f t="shared" si="25"/>
        <v>0</v>
      </c>
      <c r="W41" s="15"/>
      <c r="X41" s="15"/>
      <c r="Y41" s="14"/>
      <c r="Z41" s="14">
        <v>742000</v>
      </c>
      <c r="AF41" s="14"/>
      <c r="AG41" s="14"/>
      <c r="AH41" s="7">
        <f t="shared" si="22"/>
        <v>0</v>
      </c>
    </row>
    <row r="42" spans="1:39" s="16" customFormat="1" x14ac:dyDescent="0.25">
      <c r="A42" s="6">
        <f t="shared" si="23"/>
        <v>32</v>
      </c>
      <c r="B42" s="6">
        <v>1763</v>
      </c>
      <c r="C42" s="69" t="s">
        <v>275</v>
      </c>
      <c r="D42" s="15">
        <f>3000000+1200000</f>
        <v>4200000</v>
      </c>
      <c r="E42" s="7">
        <v>4200000</v>
      </c>
      <c r="F42" s="7">
        <f t="shared" si="13"/>
        <v>0</v>
      </c>
      <c r="G42" s="7">
        <v>2000000</v>
      </c>
      <c r="H42" s="7">
        <v>351641</v>
      </c>
      <c r="I42" s="7">
        <v>1645629.73</v>
      </c>
      <c r="J42" s="7"/>
      <c r="K42" s="7">
        <f t="shared" si="14"/>
        <v>1645629.73</v>
      </c>
      <c r="L42" s="7">
        <f t="shared" si="15"/>
        <v>1997270.73</v>
      </c>
      <c r="M42" s="15">
        <f t="shared" si="24"/>
        <v>2202729.27</v>
      </c>
      <c r="N42" s="15"/>
      <c r="O42" s="7">
        <f t="shared" si="16"/>
        <v>0</v>
      </c>
      <c r="P42" s="7">
        <f t="shared" si="17"/>
        <v>2729.2700000000186</v>
      </c>
      <c r="Q42" s="150">
        <v>500000</v>
      </c>
      <c r="R42" s="15">
        <f>1200000+500000</f>
        <v>1700000</v>
      </c>
      <c r="S42" s="7">
        <f t="shared" si="18"/>
        <v>2200000</v>
      </c>
      <c r="T42" s="15">
        <f t="shared" si="19"/>
        <v>0</v>
      </c>
      <c r="U42" s="15">
        <f t="shared" si="20"/>
        <v>0</v>
      </c>
      <c r="V42" s="15">
        <f t="shared" si="25"/>
        <v>0</v>
      </c>
      <c r="W42" s="7"/>
      <c r="X42" s="7"/>
      <c r="Y42" s="14"/>
      <c r="Z42" s="6">
        <v>742000</v>
      </c>
      <c r="AA42" s="8"/>
      <c r="AB42" s="8"/>
      <c r="AC42" s="8"/>
      <c r="AD42" s="8"/>
      <c r="AE42" s="8"/>
      <c r="AF42" s="6"/>
      <c r="AG42" s="7"/>
      <c r="AH42" s="7">
        <f t="shared" si="22"/>
        <v>0</v>
      </c>
      <c r="AI42" s="8"/>
      <c r="AJ42" s="8"/>
      <c r="AK42" s="8"/>
      <c r="AL42" s="8"/>
      <c r="AM42" s="8"/>
    </row>
    <row r="43" spans="1:39" s="16" customFormat="1" x14ac:dyDescent="0.25">
      <c r="A43" s="6">
        <f t="shared" si="23"/>
        <v>33</v>
      </c>
      <c r="B43" s="6">
        <v>1764</v>
      </c>
      <c r="C43" s="14" t="s">
        <v>262</v>
      </c>
      <c r="D43" s="15">
        <v>4800000</v>
      </c>
      <c r="E43" s="7">
        <v>4800000</v>
      </c>
      <c r="F43" s="7">
        <f t="shared" si="13"/>
        <v>0</v>
      </c>
      <c r="G43" s="7">
        <v>4800000</v>
      </c>
      <c r="H43" s="7">
        <v>3140711</v>
      </c>
      <c r="I43" s="7">
        <v>858140.87</v>
      </c>
      <c r="J43" s="7"/>
      <c r="K43" s="7">
        <f t="shared" si="14"/>
        <v>858140.87</v>
      </c>
      <c r="L43" s="7">
        <f t="shared" si="15"/>
        <v>3998851.87</v>
      </c>
      <c r="M43" s="15">
        <f t="shared" si="24"/>
        <v>801148.12999999989</v>
      </c>
      <c r="N43" s="15"/>
      <c r="O43" s="7">
        <f t="shared" si="16"/>
        <v>0</v>
      </c>
      <c r="P43" s="7">
        <f t="shared" si="17"/>
        <v>801148.12999999989</v>
      </c>
      <c r="Q43" s="7"/>
      <c r="R43" s="15"/>
      <c r="S43" s="7">
        <f t="shared" si="18"/>
        <v>0</v>
      </c>
      <c r="T43" s="15">
        <f t="shared" si="19"/>
        <v>0</v>
      </c>
      <c r="U43" s="15">
        <f t="shared" si="20"/>
        <v>0</v>
      </c>
      <c r="V43" s="15">
        <f t="shared" si="25"/>
        <v>0</v>
      </c>
      <c r="W43" s="7"/>
      <c r="X43" s="7"/>
      <c r="Y43" s="14"/>
      <c r="Z43" s="6">
        <v>742000</v>
      </c>
      <c r="AA43" s="8"/>
      <c r="AB43" s="8"/>
      <c r="AC43" s="8"/>
      <c r="AD43" s="8"/>
      <c r="AE43" s="8"/>
      <c r="AF43" s="6"/>
      <c r="AG43" s="7"/>
      <c r="AH43" s="7">
        <f t="shared" si="22"/>
        <v>0</v>
      </c>
      <c r="AI43" s="8"/>
      <c r="AJ43" s="8"/>
      <c r="AK43" s="8"/>
      <c r="AL43" s="8"/>
      <c r="AM43" s="8"/>
    </row>
    <row r="44" spans="1:39" s="16" customFormat="1" ht="15.6" x14ac:dyDescent="0.25">
      <c r="A44" s="6">
        <f t="shared" si="23"/>
        <v>34</v>
      </c>
      <c r="B44" s="6">
        <v>1765</v>
      </c>
      <c r="C44" s="14" t="s">
        <v>261</v>
      </c>
      <c r="D44" s="15">
        <v>2800000</v>
      </c>
      <c r="E44" s="7">
        <v>2800000</v>
      </c>
      <c r="F44" s="7">
        <f t="shared" si="13"/>
        <v>0</v>
      </c>
      <c r="G44" s="7">
        <v>2100000</v>
      </c>
      <c r="H44" s="7">
        <v>643136</v>
      </c>
      <c r="I44" s="7">
        <v>256859</v>
      </c>
      <c r="J44" s="7"/>
      <c r="K44" s="7">
        <f t="shared" si="14"/>
        <v>256859</v>
      </c>
      <c r="L44" s="7">
        <f t="shared" si="15"/>
        <v>899995</v>
      </c>
      <c r="M44" s="15">
        <f t="shared" si="24"/>
        <v>1200005</v>
      </c>
      <c r="N44" s="15">
        <v>700000</v>
      </c>
      <c r="O44" s="7">
        <f t="shared" si="16"/>
        <v>0</v>
      </c>
      <c r="P44" s="7">
        <f t="shared" si="17"/>
        <v>1200005</v>
      </c>
      <c r="Q44" s="7"/>
      <c r="R44" s="15"/>
      <c r="S44" s="7">
        <f t="shared" si="18"/>
        <v>0</v>
      </c>
      <c r="T44" s="15">
        <f t="shared" si="19"/>
        <v>0</v>
      </c>
      <c r="U44" s="15">
        <f t="shared" si="20"/>
        <v>700000</v>
      </c>
      <c r="V44" s="15">
        <f t="shared" si="25"/>
        <v>700000</v>
      </c>
      <c r="W44" s="7"/>
      <c r="X44" s="7"/>
      <c r="Y44" s="14"/>
      <c r="Z44" s="6">
        <v>742000</v>
      </c>
      <c r="AA44" s="8"/>
      <c r="AB44" s="8"/>
      <c r="AC44" s="8"/>
      <c r="AD44" s="8"/>
      <c r="AE44" s="8"/>
      <c r="AF44" s="11"/>
      <c r="AG44" s="7"/>
      <c r="AH44" s="7">
        <f t="shared" si="22"/>
        <v>700000</v>
      </c>
      <c r="AI44" s="13"/>
      <c r="AJ44" s="13"/>
      <c r="AK44" s="13"/>
      <c r="AL44" s="13"/>
      <c r="AM44" s="13"/>
    </row>
    <row r="45" spans="1:39" s="16" customFormat="1" ht="15" customHeight="1" x14ac:dyDescent="0.25">
      <c r="A45" s="6">
        <f t="shared" si="23"/>
        <v>35</v>
      </c>
      <c r="B45" s="6">
        <v>1807</v>
      </c>
      <c r="C45" s="14" t="s">
        <v>288</v>
      </c>
      <c r="D45" s="15">
        <v>2700000</v>
      </c>
      <c r="E45" s="7">
        <v>2700000</v>
      </c>
      <c r="F45" s="7">
        <f t="shared" si="13"/>
        <v>0</v>
      </c>
      <c r="G45" s="7">
        <v>2700000</v>
      </c>
      <c r="H45" s="7">
        <v>1341645</v>
      </c>
      <c r="I45" s="7">
        <v>1250892.97</v>
      </c>
      <c r="J45" s="7"/>
      <c r="K45" s="7">
        <f t="shared" si="14"/>
        <v>1250892.97</v>
      </c>
      <c r="L45" s="7">
        <f t="shared" si="15"/>
        <v>2592537.9699999997</v>
      </c>
      <c r="M45" s="15">
        <f t="shared" si="24"/>
        <v>107462.03000000026</v>
      </c>
      <c r="N45" s="15"/>
      <c r="O45" s="7">
        <f t="shared" si="16"/>
        <v>0</v>
      </c>
      <c r="P45" s="7">
        <f t="shared" si="17"/>
        <v>107462.03000000026</v>
      </c>
      <c r="Q45" s="7"/>
      <c r="R45" s="15"/>
      <c r="S45" s="7">
        <f t="shared" si="18"/>
        <v>0</v>
      </c>
      <c r="T45" s="15">
        <f t="shared" si="19"/>
        <v>0</v>
      </c>
      <c r="U45" s="15">
        <f t="shared" si="20"/>
        <v>0</v>
      </c>
      <c r="V45" s="15">
        <f t="shared" si="25"/>
        <v>0</v>
      </c>
      <c r="W45" s="7"/>
      <c r="X45" s="7"/>
      <c r="Y45" s="14"/>
      <c r="Z45" s="6">
        <v>742000</v>
      </c>
      <c r="AA45" s="8"/>
      <c r="AB45" s="17"/>
      <c r="AC45" s="17"/>
      <c r="AD45" s="17"/>
      <c r="AE45" s="17"/>
      <c r="AF45" s="60"/>
      <c r="AG45" s="7"/>
      <c r="AH45" s="7">
        <f t="shared" si="22"/>
        <v>0</v>
      </c>
      <c r="AI45" s="17"/>
      <c r="AJ45" s="17"/>
      <c r="AK45" s="17"/>
      <c r="AL45" s="17"/>
      <c r="AM45" s="17"/>
    </row>
    <row r="46" spans="1:39" s="16" customFormat="1" ht="30" customHeight="1" x14ac:dyDescent="0.25">
      <c r="A46" s="6">
        <f t="shared" si="23"/>
        <v>36</v>
      </c>
      <c r="B46" s="6">
        <v>1808</v>
      </c>
      <c r="C46" s="14" t="s">
        <v>289</v>
      </c>
      <c r="D46" s="15">
        <v>1400000</v>
      </c>
      <c r="E46" s="7">
        <v>1400000</v>
      </c>
      <c r="F46" s="7">
        <f t="shared" si="13"/>
        <v>0</v>
      </c>
      <c r="G46" s="7">
        <v>1200000</v>
      </c>
      <c r="H46" s="7">
        <v>84723</v>
      </c>
      <c r="I46" s="7">
        <v>15275.49</v>
      </c>
      <c r="J46" s="7"/>
      <c r="K46" s="7">
        <f t="shared" si="14"/>
        <v>15275.49</v>
      </c>
      <c r="L46" s="7">
        <f t="shared" si="15"/>
        <v>99998.49</v>
      </c>
      <c r="M46" s="15">
        <f t="shared" si="24"/>
        <v>1300001.51</v>
      </c>
      <c r="N46" s="15"/>
      <c r="O46" s="7">
        <f t="shared" si="16"/>
        <v>0</v>
      </c>
      <c r="P46" s="7">
        <f t="shared" si="17"/>
        <v>1100001.51</v>
      </c>
      <c r="Q46" s="150">
        <v>200000</v>
      </c>
      <c r="R46" s="15"/>
      <c r="S46" s="7">
        <f t="shared" si="18"/>
        <v>200000</v>
      </c>
      <c r="T46" s="15">
        <f t="shared" si="19"/>
        <v>0</v>
      </c>
      <c r="U46" s="15">
        <f t="shared" si="20"/>
        <v>0</v>
      </c>
      <c r="V46" s="15">
        <f t="shared" si="25"/>
        <v>0</v>
      </c>
      <c r="W46" s="7"/>
      <c r="X46" s="7"/>
      <c r="Y46" s="14"/>
      <c r="Z46" s="6">
        <v>742000</v>
      </c>
      <c r="AA46" s="13"/>
      <c r="AB46" s="17"/>
      <c r="AC46" s="17"/>
      <c r="AD46" s="17"/>
      <c r="AE46" s="17"/>
      <c r="AF46" s="167"/>
      <c r="AG46" s="7"/>
      <c r="AH46" s="7">
        <f t="shared" si="22"/>
        <v>0</v>
      </c>
      <c r="AI46" s="21"/>
      <c r="AJ46" s="21"/>
      <c r="AK46" s="21"/>
      <c r="AL46" s="21"/>
      <c r="AM46" s="21"/>
    </row>
    <row r="47" spans="1:39" s="16" customFormat="1" ht="15" customHeight="1" x14ac:dyDescent="0.25">
      <c r="A47" s="6">
        <f t="shared" si="23"/>
        <v>37</v>
      </c>
      <c r="B47" s="60">
        <v>1809</v>
      </c>
      <c r="C47" s="14" t="s">
        <v>290</v>
      </c>
      <c r="D47" s="15">
        <v>680000</v>
      </c>
      <c r="E47" s="7">
        <v>680000</v>
      </c>
      <c r="F47" s="7">
        <f t="shared" si="13"/>
        <v>0</v>
      </c>
      <c r="G47" s="7">
        <v>680000</v>
      </c>
      <c r="H47" s="7">
        <v>69535</v>
      </c>
      <c r="I47" s="7">
        <v>600.29999999999995</v>
      </c>
      <c r="J47" s="7"/>
      <c r="K47" s="7">
        <f t="shared" si="14"/>
        <v>600.29999999999995</v>
      </c>
      <c r="L47" s="7">
        <f t="shared" si="15"/>
        <v>70135.3</v>
      </c>
      <c r="M47" s="15">
        <f t="shared" si="24"/>
        <v>609864.69999999995</v>
      </c>
      <c r="N47" s="15"/>
      <c r="O47" s="7">
        <f t="shared" si="16"/>
        <v>0</v>
      </c>
      <c r="P47" s="7">
        <f t="shared" si="17"/>
        <v>609864.69999999995</v>
      </c>
      <c r="Q47" s="7"/>
      <c r="R47" s="15"/>
      <c r="S47" s="7">
        <f t="shared" si="18"/>
        <v>0</v>
      </c>
      <c r="T47" s="15">
        <f t="shared" si="19"/>
        <v>0</v>
      </c>
      <c r="U47" s="15">
        <f t="shared" si="20"/>
        <v>0</v>
      </c>
      <c r="V47" s="15">
        <f t="shared" si="25"/>
        <v>0</v>
      </c>
      <c r="W47" s="7"/>
      <c r="X47" s="7"/>
      <c r="Y47" s="14"/>
      <c r="Z47" s="6">
        <v>742000</v>
      </c>
      <c r="AA47" s="13"/>
      <c r="AB47" s="17"/>
      <c r="AC47" s="17"/>
      <c r="AD47" s="17"/>
      <c r="AE47" s="17"/>
      <c r="AF47" s="167"/>
      <c r="AG47" s="7"/>
      <c r="AH47" s="7">
        <f t="shared" si="22"/>
        <v>0</v>
      </c>
      <c r="AI47" s="21"/>
      <c r="AJ47" s="21"/>
      <c r="AK47" s="21"/>
      <c r="AL47" s="21"/>
      <c r="AM47" s="21"/>
    </row>
    <row r="48" spans="1:39" s="16" customFormat="1" ht="30" customHeight="1" x14ac:dyDescent="0.25">
      <c r="A48" s="6">
        <f t="shared" si="23"/>
        <v>38</v>
      </c>
      <c r="B48" s="61">
        <v>1819</v>
      </c>
      <c r="C48" s="14" t="s">
        <v>287</v>
      </c>
      <c r="D48" s="15">
        <v>18000000</v>
      </c>
      <c r="E48" s="7">
        <v>18000000</v>
      </c>
      <c r="F48" s="7">
        <f t="shared" si="13"/>
        <v>0</v>
      </c>
      <c r="G48" s="7">
        <v>200000</v>
      </c>
      <c r="H48" s="7">
        <v>44271.1</v>
      </c>
      <c r="I48" s="7">
        <v>149629.1</v>
      </c>
      <c r="J48" s="7"/>
      <c r="K48" s="7">
        <f t="shared" si="14"/>
        <v>149629.1</v>
      </c>
      <c r="L48" s="7">
        <f t="shared" si="15"/>
        <v>193900.2</v>
      </c>
      <c r="M48" s="15">
        <f t="shared" si="24"/>
        <v>6099.7999999999884</v>
      </c>
      <c r="N48" s="15">
        <f>17800000-7800000-5000000-3000000</f>
        <v>2000000</v>
      </c>
      <c r="O48" s="7">
        <f t="shared" si="16"/>
        <v>15800000</v>
      </c>
      <c r="P48" s="7">
        <f t="shared" si="17"/>
        <v>6099.7999999999884</v>
      </c>
      <c r="Q48" s="7"/>
      <c r="R48" s="15"/>
      <c r="S48" s="7">
        <f t="shared" si="18"/>
        <v>0</v>
      </c>
      <c r="T48" s="15">
        <f t="shared" si="19"/>
        <v>0</v>
      </c>
      <c r="U48" s="15">
        <f t="shared" si="20"/>
        <v>2000000</v>
      </c>
      <c r="V48" s="15">
        <f t="shared" si="25"/>
        <v>2000000</v>
      </c>
      <c r="W48" s="7"/>
      <c r="X48" s="7"/>
      <c r="Y48" s="14"/>
      <c r="Z48" s="6">
        <v>742000</v>
      </c>
      <c r="AA48" s="13"/>
      <c r="AB48" s="17"/>
      <c r="AC48" s="17"/>
      <c r="AD48" s="17"/>
      <c r="AE48" s="17"/>
      <c r="AF48" s="167"/>
      <c r="AG48" s="7"/>
      <c r="AH48" s="232">
        <f t="shared" si="22"/>
        <v>2000000</v>
      </c>
      <c r="AI48" s="21"/>
      <c r="AJ48" s="21"/>
      <c r="AK48" s="21"/>
      <c r="AL48" s="21"/>
      <c r="AM48" s="21"/>
    </row>
    <row r="49" spans="1:39" s="16" customFormat="1" ht="15" customHeight="1" x14ac:dyDescent="0.25">
      <c r="A49" s="6">
        <f t="shared" si="23"/>
        <v>39</v>
      </c>
      <c r="B49" s="61">
        <v>1845</v>
      </c>
      <c r="C49" s="14" t="s">
        <v>330</v>
      </c>
      <c r="D49" s="15">
        <v>1500000</v>
      </c>
      <c r="E49" s="7">
        <v>1500000</v>
      </c>
      <c r="F49" s="7">
        <f t="shared" si="13"/>
        <v>0</v>
      </c>
      <c r="G49" s="7">
        <v>0</v>
      </c>
      <c r="H49" s="7">
        <v>0</v>
      </c>
      <c r="I49" s="7"/>
      <c r="J49" s="7"/>
      <c r="K49" s="7">
        <f t="shared" si="14"/>
        <v>0</v>
      </c>
      <c r="L49" s="7">
        <f t="shared" si="15"/>
        <v>0</v>
      </c>
      <c r="M49" s="15">
        <f t="shared" si="24"/>
        <v>200000</v>
      </c>
      <c r="N49" s="15">
        <v>200000</v>
      </c>
      <c r="O49" s="7">
        <f t="shared" si="16"/>
        <v>1100000</v>
      </c>
      <c r="P49" s="7">
        <f t="shared" si="17"/>
        <v>0</v>
      </c>
      <c r="Q49" s="197">
        <v>200000</v>
      </c>
      <c r="R49" s="15"/>
      <c r="S49" s="7">
        <f t="shared" si="18"/>
        <v>200000</v>
      </c>
      <c r="T49" s="15">
        <f t="shared" si="19"/>
        <v>0</v>
      </c>
      <c r="U49" s="15">
        <f t="shared" si="20"/>
        <v>200000</v>
      </c>
      <c r="V49" s="15">
        <f t="shared" si="25"/>
        <v>200000</v>
      </c>
      <c r="W49" s="7"/>
      <c r="X49" s="7"/>
      <c r="Y49" s="14"/>
      <c r="Z49" s="6">
        <v>742000</v>
      </c>
      <c r="AA49" s="13"/>
      <c r="AB49" s="17"/>
      <c r="AC49" s="17"/>
      <c r="AD49" s="17"/>
      <c r="AE49" s="17"/>
      <c r="AF49" s="167"/>
      <c r="AG49" s="7"/>
      <c r="AH49" s="7">
        <f t="shared" si="22"/>
        <v>200000</v>
      </c>
      <c r="AI49" s="21"/>
      <c r="AJ49" s="21"/>
      <c r="AK49" s="21"/>
      <c r="AL49" s="21"/>
      <c r="AM49" s="21"/>
    </row>
    <row r="50" spans="1:39" s="16" customFormat="1" x14ac:dyDescent="0.25">
      <c r="A50" s="6">
        <f t="shared" si="23"/>
        <v>40</v>
      </c>
      <c r="B50" s="6">
        <v>1904</v>
      </c>
      <c r="C50" s="14" t="s">
        <v>317</v>
      </c>
      <c r="D50" s="15">
        <v>5700000</v>
      </c>
      <c r="E50" s="7">
        <v>5700000</v>
      </c>
      <c r="F50" s="7">
        <f t="shared" si="13"/>
        <v>0</v>
      </c>
      <c r="G50" s="7">
        <v>350000</v>
      </c>
      <c r="H50" s="7">
        <v>0</v>
      </c>
      <c r="I50" s="7"/>
      <c r="J50" s="7"/>
      <c r="K50" s="7">
        <f t="shared" si="14"/>
        <v>0</v>
      </c>
      <c r="L50" s="7">
        <f t="shared" si="15"/>
        <v>0</v>
      </c>
      <c r="M50" s="15">
        <f t="shared" si="24"/>
        <v>2000000</v>
      </c>
      <c r="N50" s="15"/>
      <c r="O50" s="7">
        <f t="shared" si="16"/>
        <v>3700000</v>
      </c>
      <c r="P50" s="7">
        <f t="shared" si="17"/>
        <v>350000</v>
      </c>
      <c r="Q50" s="7"/>
      <c r="R50" s="197">
        <f>5350000-3700000</f>
        <v>1650000</v>
      </c>
      <c r="S50" s="7">
        <f t="shared" si="18"/>
        <v>1650000</v>
      </c>
      <c r="T50" s="15">
        <f t="shared" si="19"/>
        <v>0</v>
      </c>
      <c r="U50" s="15">
        <f t="shared" si="20"/>
        <v>0</v>
      </c>
      <c r="V50" s="15">
        <f>U50-Y50-W50-X50</f>
        <v>0</v>
      </c>
      <c r="W50" s="7"/>
      <c r="X50" s="7"/>
      <c r="Y50" s="14"/>
      <c r="Z50" s="6">
        <v>742000</v>
      </c>
      <c r="AA50" s="8"/>
      <c r="AB50" s="8"/>
      <c r="AC50" s="8"/>
      <c r="AD50" s="8"/>
      <c r="AE50" s="8"/>
      <c r="AF50" s="6"/>
      <c r="AG50" s="6"/>
      <c r="AH50" s="7">
        <f t="shared" si="22"/>
        <v>0</v>
      </c>
      <c r="AI50" s="8"/>
      <c r="AJ50" s="8"/>
      <c r="AK50" s="8"/>
      <c r="AL50" s="8"/>
      <c r="AM50" s="8"/>
    </row>
    <row r="51" spans="1:39" s="16" customFormat="1" ht="15" customHeight="1" x14ac:dyDescent="0.25">
      <c r="A51" s="6">
        <f t="shared" si="23"/>
        <v>41</v>
      </c>
      <c r="B51" s="84">
        <v>1953</v>
      </c>
      <c r="C51" s="14" t="s">
        <v>407</v>
      </c>
      <c r="D51" s="15">
        <v>1800000</v>
      </c>
      <c r="E51" s="7"/>
      <c r="F51" s="7">
        <f t="shared" si="13"/>
        <v>1800000</v>
      </c>
      <c r="G51" s="7"/>
      <c r="H51" s="7"/>
      <c r="I51" s="7"/>
      <c r="J51" s="7"/>
      <c r="K51" s="7"/>
      <c r="L51" s="7"/>
      <c r="M51" s="15">
        <f t="shared" si="24"/>
        <v>0</v>
      </c>
      <c r="N51" s="15">
        <f>1800000-900000-400000</f>
        <v>500000</v>
      </c>
      <c r="O51" s="7">
        <f t="shared" si="16"/>
        <v>1300000</v>
      </c>
      <c r="P51" s="7">
        <f t="shared" si="17"/>
        <v>0</v>
      </c>
      <c r="Q51" s="7"/>
      <c r="R51" s="7"/>
      <c r="S51" s="7"/>
      <c r="T51" s="15"/>
      <c r="U51" s="15">
        <f t="shared" si="20"/>
        <v>500000</v>
      </c>
      <c r="V51" s="15">
        <f t="shared" ref="V51:V60" si="26">U51-W51-X51-Y51</f>
        <v>500000</v>
      </c>
      <c r="W51" s="7"/>
      <c r="X51" s="7"/>
      <c r="Y51" s="14"/>
      <c r="Z51" s="6">
        <v>742000</v>
      </c>
      <c r="AA51" s="13"/>
      <c r="AB51" s="17"/>
      <c r="AC51" s="17"/>
      <c r="AD51" s="17"/>
      <c r="AE51" s="17"/>
      <c r="AF51" s="167"/>
      <c r="AG51" s="167"/>
      <c r="AH51" s="232">
        <f t="shared" si="22"/>
        <v>500000</v>
      </c>
      <c r="AI51" s="21"/>
      <c r="AJ51" s="21"/>
      <c r="AK51" s="227"/>
      <c r="AL51" s="21"/>
      <c r="AM51" s="21"/>
    </row>
    <row r="52" spans="1:39" s="8" customFormat="1" ht="15" customHeight="1" x14ac:dyDescent="0.25">
      <c r="A52" s="6">
        <f t="shared" si="23"/>
        <v>42</v>
      </c>
      <c r="B52" s="84">
        <v>1954</v>
      </c>
      <c r="C52" s="14" t="s">
        <v>408</v>
      </c>
      <c r="D52" s="15">
        <v>2000000</v>
      </c>
      <c r="E52" s="7"/>
      <c r="F52" s="7">
        <f t="shared" si="13"/>
        <v>2000000</v>
      </c>
      <c r="G52" s="7"/>
      <c r="H52" s="7"/>
      <c r="I52" s="7"/>
      <c r="J52" s="7"/>
      <c r="K52" s="7"/>
      <c r="L52" s="7"/>
      <c r="M52" s="15"/>
      <c r="N52" s="15">
        <f>2000000-1000000+1000000</f>
        <v>2000000</v>
      </c>
      <c r="O52" s="7">
        <f t="shared" si="16"/>
        <v>0</v>
      </c>
      <c r="P52" s="7"/>
      <c r="Q52" s="7"/>
      <c r="R52" s="7"/>
      <c r="S52" s="7"/>
      <c r="T52" s="15"/>
      <c r="U52" s="15">
        <f t="shared" si="20"/>
        <v>2000000</v>
      </c>
      <c r="V52" s="15">
        <f t="shared" si="26"/>
        <v>2000000</v>
      </c>
      <c r="W52" s="7"/>
      <c r="X52" s="7"/>
      <c r="Y52" s="14"/>
      <c r="Z52" s="6">
        <v>742000</v>
      </c>
      <c r="AA52" s="13"/>
      <c r="AB52" s="17"/>
      <c r="AC52" s="17"/>
      <c r="AD52" s="17"/>
      <c r="AE52" s="17"/>
      <c r="AF52" s="167"/>
      <c r="AG52" s="167"/>
      <c r="AH52" s="232">
        <f t="shared" si="22"/>
        <v>2000000</v>
      </c>
      <c r="AI52" s="21"/>
      <c r="AJ52" s="21"/>
      <c r="AK52" s="227"/>
      <c r="AL52" s="21"/>
      <c r="AM52" s="21"/>
    </row>
    <row r="53" spans="1:39" s="13" customFormat="1" ht="15.75" customHeight="1" x14ac:dyDescent="0.25">
      <c r="A53" s="6">
        <f t="shared" si="23"/>
        <v>43</v>
      </c>
      <c r="B53" s="84">
        <v>1955</v>
      </c>
      <c r="C53" s="14" t="s">
        <v>409</v>
      </c>
      <c r="D53" s="15">
        <v>250000</v>
      </c>
      <c r="E53" s="7"/>
      <c r="F53" s="7">
        <f t="shared" si="13"/>
        <v>250000</v>
      </c>
      <c r="G53" s="7"/>
      <c r="H53" s="7"/>
      <c r="I53" s="7"/>
      <c r="J53" s="7"/>
      <c r="K53" s="7"/>
      <c r="L53" s="7"/>
      <c r="M53" s="15"/>
      <c r="N53" s="15">
        <v>250000</v>
      </c>
      <c r="O53" s="7">
        <f t="shared" si="16"/>
        <v>0</v>
      </c>
      <c r="P53" s="7"/>
      <c r="Q53" s="7"/>
      <c r="R53" s="7"/>
      <c r="S53" s="7"/>
      <c r="T53" s="15"/>
      <c r="U53" s="15">
        <f t="shared" si="20"/>
        <v>250000</v>
      </c>
      <c r="V53" s="15">
        <f t="shared" si="26"/>
        <v>250000</v>
      </c>
      <c r="W53" s="7"/>
      <c r="X53" s="7"/>
      <c r="Y53" s="14"/>
      <c r="Z53" s="6">
        <v>742000</v>
      </c>
      <c r="AB53" s="17"/>
      <c r="AC53" s="17"/>
      <c r="AD53" s="17"/>
      <c r="AE53" s="17"/>
      <c r="AF53" s="167"/>
      <c r="AG53" s="167"/>
      <c r="AH53" s="7">
        <f t="shared" si="22"/>
        <v>250000</v>
      </c>
      <c r="AI53" s="21"/>
      <c r="AJ53" s="21"/>
      <c r="AK53" s="227"/>
      <c r="AL53" s="21"/>
      <c r="AM53" s="21"/>
    </row>
    <row r="54" spans="1:39" s="8" customFormat="1" ht="15" customHeight="1" x14ac:dyDescent="0.25">
      <c r="A54" s="6">
        <f t="shared" si="23"/>
        <v>44</v>
      </c>
      <c r="B54" s="84">
        <v>1956</v>
      </c>
      <c r="C54" s="14" t="s">
        <v>499</v>
      </c>
      <c r="D54" s="15">
        <v>1500000</v>
      </c>
      <c r="E54" s="7"/>
      <c r="F54" s="7">
        <f t="shared" si="13"/>
        <v>1500000</v>
      </c>
      <c r="G54" s="7"/>
      <c r="H54" s="7"/>
      <c r="I54" s="7"/>
      <c r="J54" s="7"/>
      <c r="K54" s="7"/>
      <c r="L54" s="7"/>
      <c r="M54" s="15"/>
      <c r="N54" s="15">
        <f>1500000-750000</f>
        <v>750000</v>
      </c>
      <c r="O54" s="7">
        <f t="shared" si="16"/>
        <v>750000</v>
      </c>
      <c r="P54" s="7"/>
      <c r="Q54" s="7"/>
      <c r="R54" s="7"/>
      <c r="S54" s="7"/>
      <c r="T54" s="15"/>
      <c r="U54" s="15">
        <f t="shared" si="20"/>
        <v>750000</v>
      </c>
      <c r="V54" s="15">
        <f t="shared" si="26"/>
        <v>750000</v>
      </c>
      <c r="W54" s="7"/>
      <c r="X54" s="7"/>
      <c r="Y54" s="14"/>
      <c r="Z54" s="6">
        <v>742000</v>
      </c>
      <c r="AA54" s="13"/>
      <c r="AB54" s="17"/>
      <c r="AC54" s="17"/>
      <c r="AD54" s="17"/>
      <c r="AE54" s="17"/>
      <c r="AF54" s="167"/>
      <c r="AG54" s="167"/>
      <c r="AH54" s="232">
        <f t="shared" si="22"/>
        <v>750000</v>
      </c>
      <c r="AI54" s="21"/>
      <c r="AJ54" s="21"/>
      <c r="AK54" s="227"/>
      <c r="AL54" s="21"/>
      <c r="AM54" s="21"/>
    </row>
    <row r="55" spans="1:39" s="17" customFormat="1" x14ac:dyDescent="0.25">
      <c r="A55" s="6">
        <f t="shared" si="23"/>
        <v>45</v>
      </c>
      <c r="B55" s="14">
        <v>1547</v>
      </c>
      <c r="C55" s="14" t="s">
        <v>256</v>
      </c>
      <c r="D55" s="15">
        <v>131000000</v>
      </c>
      <c r="E55" s="15">
        <v>131000000</v>
      </c>
      <c r="F55" s="7">
        <f t="shared" si="13"/>
        <v>0</v>
      </c>
      <c r="G55" s="15">
        <v>19822444</v>
      </c>
      <c r="H55" s="15">
        <v>4249048.8</v>
      </c>
      <c r="I55" s="15">
        <v>2137819.4900000002</v>
      </c>
      <c r="J55" s="15">
        <v>1347250.48</v>
      </c>
      <c r="K55" s="15">
        <f>SUM(I55:J55)</f>
        <v>3485069.97</v>
      </c>
      <c r="L55" s="15">
        <f>H55+K55</f>
        <v>7734118.7699999996</v>
      </c>
      <c r="M55" s="15">
        <f>P55+S55</f>
        <v>36265881.230000004</v>
      </c>
      <c r="N55" s="15">
        <f>56000000-6000000-5700000</f>
        <v>44300000</v>
      </c>
      <c r="O55" s="15">
        <f t="shared" si="16"/>
        <v>42700000</v>
      </c>
      <c r="P55" s="15">
        <f>G55-L55</f>
        <v>12088325.23</v>
      </c>
      <c r="Q55" s="197">
        <v>24177556</v>
      </c>
      <c r="R55" s="15"/>
      <c r="S55" s="15">
        <f>SUM(Q55:R55)</f>
        <v>24177556</v>
      </c>
      <c r="T55" s="15">
        <f>P55-M55+S55</f>
        <v>0</v>
      </c>
      <c r="U55" s="15">
        <f t="shared" si="20"/>
        <v>44300000</v>
      </c>
      <c r="V55" s="15">
        <f t="shared" si="26"/>
        <v>24300000</v>
      </c>
      <c r="W55" s="15"/>
      <c r="X55" s="15"/>
      <c r="Y55" s="15">
        <v>20000000</v>
      </c>
      <c r="Z55" s="14">
        <v>742000</v>
      </c>
      <c r="AA55" s="16"/>
      <c r="AB55" s="16"/>
      <c r="AC55" s="16"/>
      <c r="AD55" s="16"/>
      <c r="AE55" s="16"/>
      <c r="AF55" s="14"/>
      <c r="AG55" s="14"/>
      <c r="AH55" s="232">
        <f t="shared" si="22"/>
        <v>24300000</v>
      </c>
      <c r="AI55" s="16"/>
      <c r="AJ55" s="16"/>
      <c r="AK55" s="227"/>
      <c r="AL55" s="16"/>
      <c r="AM55" s="16"/>
    </row>
    <row r="56" spans="1:39" s="17" customFormat="1" ht="15.6" x14ac:dyDescent="0.25">
      <c r="A56" s="6">
        <f t="shared" si="23"/>
        <v>46</v>
      </c>
      <c r="B56" s="84">
        <v>1961</v>
      </c>
      <c r="C56" s="14" t="s">
        <v>495</v>
      </c>
      <c r="D56" s="15">
        <v>3000000</v>
      </c>
      <c r="E56" s="7"/>
      <c r="F56" s="7">
        <f t="shared" si="13"/>
        <v>3000000</v>
      </c>
      <c r="G56" s="7"/>
      <c r="H56" s="7"/>
      <c r="I56" s="7"/>
      <c r="J56" s="7"/>
      <c r="K56" s="7"/>
      <c r="L56" s="7"/>
      <c r="M56" s="15"/>
      <c r="N56" s="15">
        <v>3000000</v>
      </c>
      <c r="O56" s="7">
        <f t="shared" si="16"/>
        <v>0</v>
      </c>
      <c r="P56" s="7"/>
      <c r="Q56" s="7"/>
      <c r="R56" s="7"/>
      <c r="S56" s="7"/>
      <c r="T56" s="15"/>
      <c r="U56" s="15">
        <f t="shared" si="20"/>
        <v>3000000</v>
      </c>
      <c r="V56" s="15">
        <f t="shared" si="26"/>
        <v>3000000</v>
      </c>
      <c r="W56" s="7"/>
      <c r="X56" s="7"/>
      <c r="Y56" s="14"/>
      <c r="Z56" s="6">
        <v>742000</v>
      </c>
      <c r="AA56" s="13"/>
      <c r="AF56" s="167"/>
      <c r="AG56" s="167"/>
      <c r="AH56" s="7">
        <f t="shared" si="22"/>
        <v>3000000</v>
      </c>
      <c r="AI56" s="21"/>
      <c r="AJ56" s="21"/>
      <c r="AK56" s="21"/>
      <c r="AL56" s="21"/>
      <c r="AM56" s="21"/>
    </row>
    <row r="57" spans="1:39" s="71" customFormat="1" ht="15" customHeight="1" x14ac:dyDescent="0.25">
      <c r="A57" s="6">
        <f t="shared" si="23"/>
        <v>47</v>
      </c>
      <c r="B57" s="84">
        <v>1962</v>
      </c>
      <c r="C57" s="14" t="s">
        <v>496</v>
      </c>
      <c r="D57" s="15">
        <v>20000000</v>
      </c>
      <c r="E57" s="7"/>
      <c r="F57" s="7">
        <f t="shared" si="13"/>
        <v>20000000</v>
      </c>
      <c r="G57" s="7"/>
      <c r="H57" s="7"/>
      <c r="I57" s="7"/>
      <c r="J57" s="7"/>
      <c r="K57" s="7"/>
      <c r="L57" s="7"/>
      <c r="M57" s="15"/>
      <c r="N57" s="15">
        <v>2000000</v>
      </c>
      <c r="O57" s="7">
        <f t="shared" si="16"/>
        <v>18000000</v>
      </c>
      <c r="P57" s="7"/>
      <c r="Q57" s="7"/>
      <c r="R57" s="7"/>
      <c r="S57" s="7"/>
      <c r="T57" s="15"/>
      <c r="U57" s="15">
        <f t="shared" si="20"/>
        <v>2000000</v>
      </c>
      <c r="V57" s="15">
        <f t="shared" si="26"/>
        <v>2000000</v>
      </c>
      <c r="W57" s="7"/>
      <c r="X57" s="7"/>
      <c r="Y57" s="14"/>
      <c r="Z57" s="6">
        <v>742000</v>
      </c>
      <c r="AA57" s="13"/>
      <c r="AB57" s="17"/>
      <c r="AC57" s="17"/>
      <c r="AD57" s="17"/>
      <c r="AE57" s="17"/>
      <c r="AF57" s="167"/>
      <c r="AG57" s="167"/>
      <c r="AH57" s="7">
        <f t="shared" si="22"/>
        <v>2000000</v>
      </c>
      <c r="AI57" s="21"/>
      <c r="AJ57" s="21"/>
      <c r="AK57" s="21"/>
      <c r="AL57" s="21"/>
      <c r="AM57" s="21"/>
    </row>
    <row r="58" spans="1:39" ht="15.6" x14ac:dyDescent="0.25">
      <c r="A58" s="6">
        <f t="shared" si="23"/>
        <v>48</v>
      </c>
      <c r="B58" s="84">
        <v>1963</v>
      </c>
      <c r="C58" s="14" t="s">
        <v>544</v>
      </c>
      <c r="D58" s="15">
        <v>2800000</v>
      </c>
      <c r="E58" s="7"/>
      <c r="F58" s="7">
        <f t="shared" si="13"/>
        <v>2800000</v>
      </c>
      <c r="G58" s="7"/>
      <c r="H58" s="7"/>
      <c r="I58" s="7"/>
      <c r="J58" s="7"/>
      <c r="K58" s="7"/>
      <c r="L58" s="7"/>
      <c r="M58" s="15"/>
      <c r="N58" s="15">
        <v>2800000</v>
      </c>
      <c r="O58" s="7">
        <f t="shared" si="16"/>
        <v>0</v>
      </c>
      <c r="P58" s="7"/>
      <c r="Q58" s="7"/>
      <c r="R58" s="7"/>
      <c r="S58" s="7"/>
      <c r="T58" s="15"/>
      <c r="U58" s="15">
        <f t="shared" si="20"/>
        <v>2800000</v>
      </c>
      <c r="V58" s="15">
        <f t="shared" si="26"/>
        <v>309655</v>
      </c>
      <c r="W58" s="7"/>
      <c r="X58" s="7"/>
      <c r="Y58" s="15">
        <f>1800000*1.1*1.075*1.17</f>
        <v>2490345</v>
      </c>
      <c r="Z58" s="6">
        <v>742000</v>
      </c>
      <c r="AA58" s="13"/>
      <c r="AB58" s="17"/>
      <c r="AC58" s="17"/>
      <c r="AD58" s="17"/>
      <c r="AE58" s="17"/>
      <c r="AF58" s="167"/>
      <c r="AG58" s="167"/>
      <c r="AH58" s="7">
        <f t="shared" si="22"/>
        <v>309655</v>
      </c>
    </row>
    <row r="59" spans="1:39" x14ac:dyDescent="0.25">
      <c r="A59" s="6">
        <f t="shared" si="23"/>
        <v>49</v>
      </c>
      <c r="B59" s="14">
        <v>1721</v>
      </c>
      <c r="C59" s="14" t="s">
        <v>92</v>
      </c>
      <c r="D59" s="15">
        <v>700000</v>
      </c>
      <c r="E59" s="15">
        <v>700000</v>
      </c>
      <c r="F59" s="7">
        <f t="shared" si="13"/>
        <v>0</v>
      </c>
      <c r="G59" s="15">
        <v>700000</v>
      </c>
      <c r="H59" s="15">
        <v>41377</v>
      </c>
      <c r="I59" s="15">
        <v>37250</v>
      </c>
      <c r="J59" s="15"/>
      <c r="K59" s="15">
        <f>SUM(I59:J59)</f>
        <v>37250</v>
      </c>
      <c r="L59" s="15">
        <f>H59+K59</f>
        <v>78627</v>
      </c>
      <c r="M59" s="15">
        <f>P59+S59</f>
        <v>621373</v>
      </c>
      <c r="N59" s="15"/>
      <c r="O59" s="15">
        <f t="shared" si="16"/>
        <v>0</v>
      </c>
      <c r="P59" s="15">
        <f>G59-L59</f>
        <v>621373</v>
      </c>
      <c r="Q59" s="15"/>
      <c r="R59" s="15"/>
      <c r="S59" s="15">
        <f>SUM(Q59:R59)</f>
        <v>0</v>
      </c>
      <c r="T59" s="15">
        <f>P59-M59+S59</f>
        <v>0</v>
      </c>
      <c r="U59" s="15">
        <f t="shared" si="20"/>
        <v>0</v>
      </c>
      <c r="V59" s="15">
        <f t="shared" si="26"/>
        <v>0</v>
      </c>
      <c r="W59" s="15"/>
      <c r="X59" s="15"/>
      <c r="Y59" s="14"/>
      <c r="Z59" s="14">
        <v>746000</v>
      </c>
      <c r="AA59" s="16"/>
      <c r="AB59" s="16"/>
      <c r="AC59" s="16"/>
      <c r="AD59" s="16"/>
      <c r="AE59" s="16"/>
      <c r="AF59" s="14"/>
      <c r="AG59" s="7"/>
      <c r="AH59" s="7">
        <f t="shared" si="22"/>
        <v>0</v>
      </c>
      <c r="AI59" s="16"/>
      <c r="AJ59" s="16"/>
      <c r="AK59" s="16"/>
      <c r="AL59" s="16"/>
      <c r="AM59" s="16"/>
    </row>
    <row r="60" spans="1:39" ht="15.6" x14ac:dyDescent="0.25">
      <c r="A60" s="6">
        <f t="shared" si="23"/>
        <v>50</v>
      </c>
      <c r="B60" s="74">
        <v>1827</v>
      </c>
      <c r="C60" s="14" t="s">
        <v>328</v>
      </c>
      <c r="D60" s="15">
        <v>100000000</v>
      </c>
      <c r="E60" s="15">
        <v>66250000</v>
      </c>
      <c r="F60" s="7">
        <f t="shared" si="13"/>
        <v>33750000</v>
      </c>
      <c r="G60" s="15">
        <v>4000000</v>
      </c>
      <c r="H60" s="15">
        <v>313037</v>
      </c>
      <c r="I60" s="15">
        <v>1787464.35</v>
      </c>
      <c r="J60" s="15"/>
      <c r="K60" s="15">
        <f>SUM(I60:J60)</f>
        <v>1787464.35</v>
      </c>
      <c r="L60" s="15">
        <f>H60+K60</f>
        <v>2100501.35</v>
      </c>
      <c r="M60" s="15">
        <f>P60+S60</f>
        <v>15899498.65</v>
      </c>
      <c r="N60" s="15">
        <f>82000000-12000000</f>
        <v>70000000</v>
      </c>
      <c r="O60" s="15">
        <f t="shared" si="16"/>
        <v>12000000</v>
      </c>
      <c r="P60" s="15">
        <f>G60-L60</f>
        <v>1899498.65</v>
      </c>
      <c r="Q60" s="197">
        <v>14000000</v>
      </c>
      <c r="R60" s="15"/>
      <c r="S60" s="15">
        <f>SUM(Q60:R60)</f>
        <v>14000000</v>
      </c>
      <c r="T60" s="15">
        <f>P60-M60+S60</f>
        <v>0</v>
      </c>
      <c r="U60" s="15">
        <f t="shared" si="20"/>
        <v>70000000</v>
      </c>
      <c r="V60" s="15">
        <f t="shared" si="26"/>
        <v>0</v>
      </c>
      <c r="W60" s="15"/>
      <c r="X60" s="15"/>
      <c r="Y60" s="15">
        <v>70000000</v>
      </c>
      <c r="Z60" s="14">
        <v>746000</v>
      </c>
      <c r="AA60" s="75"/>
      <c r="AB60" s="76"/>
      <c r="AC60" s="76"/>
      <c r="AD60" s="76"/>
      <c r="AE60" s="76"/>
      <c r="AF60" s="249"/>
      <c r="AG60" s="249"/>
      <c r="AH60" s="7">
        <f t="shared" si="22"/>
        <v>0</v>
      </c>
      <c r="AI60" s="77"/>
      <c r="AJ60" s="77"/>
      <c r="AK60" s="227"/>
      <c r="AL60" s="77"/>
      <c r="AM60" s="77"/>
    </row>
    <row r="61" spans="1:39" x14ac:dyDescent="0.25">
      <c r="A61" s="6">
        <f t="shared" si="23"/>
        <v>51</v>
      </c>
      <c r="B61" s="6">
        <v>1905</v>
      </c>
      <c r="C61" s="14" t="s">
        <v>325</v>
      </c>
      <c r="D61" s="15">
        <v>3366000</v>
      </c>
      <c r="E61" s="7">
        <v>3366000</v>
      </c>
      <c r="F61" s="7">
        <f t="shared" si="13"/>
        <v>0</v>
      </c>
      <c r="G61" s="7">
        <v>0</v>
      </c>
      <c r="H61" s="7">
        <v>0</v>
      </c>
      <c r="I61" s="7"/>
      <c r="J61" s="7"/>
      <c r="K61" s="7">
        <f>SUM(I61:J61)</f>
        <v>0</v>
      </c>
      <c r="L61" s="7">
        <f>H61+K61</f>
        <v>0</v>
      </c>
      <c r="M61" s="15">
        <f>P61+S61</f>
        <v>3366000</v>
      </c>
      <c r="N61" s="15"/>
      <c r="O61" s="7">
        <f t="shared" si="16"/>
        <v>0</v>
      </c>
      <c r="P61" s="7">
        <f>G61-L61</f>
        <v>0</v>
      </c>
      <c r="Q61" s="7"/>
      <c r="R61" s="197">
        <v>3366000</v>
      </c>
      <c r="S61" s="7">
        <f>SUM(Q61:R61)</f>
        <v>3366000</v>
      </c>
      <c r="T61" s="15">
        <f>P61-M61+S61</f>
        <v>0</v>
      </c>
      <c r="U61" s="15">
        <f t="shared" si="20"/>
        <v>0</v>
      </c>
      <c r="V61" s="15">
        <f>U61-Y61-W61-X61</f>
        <v>0</v>
      </c>
      <c r="W61" s="7"/>
      <c r="X61" s="7"/>
      <c r="Y61" s="14"/>
      <c r="Z61" s="6">
        <v>746000</v>
      </c>
      <c r="AA61" s="8"/>
      <c r="AB61" s="8"/>
      <c r="AC61" s="8"/>
      <c r="AD61" s="8"/>
      <c r="AE61" s="8"/>
      <c r="AF61" s="6"/>
      <c r="AG61" s="6"/>
      <c r="AH61" s="7">
        <f t="shared" si="22"/>
        <v>0</v>
      </c>
      <c r="AI61" s="8"/>
      <c r="AJ61" s="8"/>
      <c r="AK61" s="8"/>
      <c r="AL61" s="8"/>
      <c r="AM61" s="8"/>
    </row>
    <row r="62" spans="1:39" s="16" customFormat="1" x14ac:dyDescent="0.25">
      <c r="A62" s="6">
        <f t="shared" si="23"/>
        <v>52</v>
      </c>
      <c r="B62" s="6">
        <v>1443</v>
      </c>
      <c r="C62" s="69" t="s">
        <v>215</v>
      </c>
      <c r="D62" s="15">
        <v>78500000</v>
      </c>
      <c r="E62" s="7">
        <v>78500000</v>
      </c>
      <c r="F62" s="7">
        <f t="shared" si="13"/>
        <v>0</v>
      </c>
      <c r="G62" s="7">
        <v>50840000</v>
      </c>
      <c r="H62" s="7">
        <v>50765998</v>
      </c>
      <c r="I62" s="7">
        <v>72871.649999999994</v>
      </c>
      <c r="J62" s="7"/>
      <c r="K62" s="7">
        <f>SUM(I62:J62)</f>
        <v>72871.649999999994</v>
      </c>
      <c r="L62" s="7">
        <f>H62+K62</f>
        <v>50838869.649999999</v>
      </c>
      <c r="M62" s="15">
        <f>P62+S62</f>
        <v>1130.3500000014901</v>
      </c>
      <c r="N62" s="15">
        <v>27660000</v>
      </c>
      <c r="O62" s="7">
        <f t="shared" si="16"/>
        <v>0</v>
      </c>
      <c r="P62" s="7">
        <f>G62-L62</f>
        <v>1130.3500000014901</v>
      </c>
      <c r="Q62" s="7"/>
      <c r="R62" s="15"/>
      <c r="S62" s="7">
        <f>SUM(Q62:R62)</f>
        <v>0</v>
      </c>
      <c r="T62" s="15">
        <f>P62-M62+S62</f>
        <v>0</v>
      </c>
      <c r="U62" s="15">
        <f t="shared" si="20"/>
        <v>27660000</v>
      </c>
      <c r="V62" s="15">
        <f>U62-W62-X62-Y62</f>
        <v>0</v>
      </c>
      <c r="W62" s="7"/>
      <c r="X62" s="7"/>
      <c r="Y62" s="15">
        <v>27660000</v>
      </c>
      <c r="Z62" s="6">
        <v>749000</v>
      </c>
      <c r="AA62" s="8"/>
      <c r="AB62" s="8"/>
      <c r="AC62" s="8"/>
      <c r="AD62" s="8"/>
      <c r="AE62" s="8"/>
      <c r="AF62" s="6"/>
      <c r="AG62" s="7"/>
      <c r="AH62" s="7">
        <f t="shared" si="22"/>
        <v>0</v>
      </c>
      <c r="AI62" s="8"/>
      <c r="AJ62" s="8"/>
      <c r="AK62" s="8"/>
      <c r="AL62" s="8"/>
      <c r="AM62" s="8"/>
    </row>
    <row r="63" spans="1:39" s="75" customFormat="1" ht="15.6" x14ac:dyDescent="0.25">
      <c r="A63" s="11"/>
      <c r="B63" s="11"/>
      <c r="C63" s="391">
        <v>74</v>
      </c>
      <c r="D63" s="217">
        <f>SUM(D20:D62)</f>
        <v>842003733</v>
      </c>
      <c r="E63" s="217">
        <f t="shared" ref="E63:Y63" si="27">SUM(E20:E62)</f>
        <v>772487930</v>
      </c>
      <c r="F63" s="217">
        <f t="shared" si="27"/>
        <v>69515803</v>
      </c>
      <c r="G63" s="217">
        <f t="shared" si="27"/>
        <v>298948774</v>
      </c>
      <c r="H63" s="217">
        <f t="shared" si="27"/>
        <v>234561556.78999996</v>
      </c>
      <c r="I63" s="217">
        <f t="shared" si="27"/>
        <v>27538270.079999998</v>
      </c>
      <c r="J63" s="217">
        <f t="shared" si="27"/>
        <v>3109419.2299999995</v>
      </c>
      <c r="K63" s="217">
        <f t="shared" si="27"/>
        <v>30647689.309999999</v>
      </c>
      <c r="L63" s="217">
        <f t="shared" si="27"/>
        <v>265209246.09999999</v>
      </c>
      <c r="M63" s="217">
        <f t="shared" si="27"/>
        <v>116433886.90000001</v>
      </c>
      <c r="N63" s="217">
        <f t="shared" si="27"/>
        <v>214260600</v>
      </c>
      <c r="O63" s="217">
        <f t="shared" si="27"/>
        <v>246100000</v>
      </c>
      <c r="P63" s="217">
        <f t="shared" si="27"/>
        <v>33739527.900000006</v>
      </c>
      <c r="Q63" s="217">
        <f t="shared" si="27"/>
        <v>67812556</v>
      </c>
      <c r="R63" s="217">
        <f t="shared" si="27"/>
        <v>15116000</v>
      </c>
      <c r="S63" s="217">
        <f t="shared" si="27"/>
        <v>82928556</v>
      </c>
      <c r="T63" s="217">
        <f t="shared" si="27"/>
        <v>234197</v>
      </c>
      <c r="U63" s="217">
        <f t="shared" si="27"/>
        <v>214026403</v>
      </c>
      <c r="V63" s="217">
        <f t="shared" si="27"/>
        <v>93876058</v>
      </c>
      <c r="W63" s="217">
        <f t="shared" si="27"/>
        <v>0</v>
      </c>
      <c r="X63" s="217">
        <f t="shared" si="27"/>
        <v>0</v>
      </c>
      <c r="Y63" s="217">
        <f t="shared" si="27"/>
        <v>120150345</v>
      </c>
      <c r="Z63" s="11"/>
      <c r="AA63" s="13"/>
      <c r="AB63" s="13"/>
      <c r="AC63" s="13"/>
      <c r="AD63" s="13"/>
      <c r="AE63" s="13"/>
      <c r="AF63" s="11"/>
      <c r="AG63" s="12"/>
      <c r="AH63" s="12"/>
      <c r="AI63" s="13"/>
      <c r="AJ63" s="13"/>
      <c r="AK63" s="13"/>
      <c r="AL63" s="13"/>
      <c r="AM63" s="13"/>
    </row>
    <row r="64" spans="1:39" s="16" customFormat="1" x14ac:dyDescent="0.25">
      <c r="A64" s="6"/>
      <c r="B64" s="6"/>
      <c r="C64" s="69"/>
      <c r="D64" s="15"/>
      <c r="E64" s="7"/>
      <c r="F64" s="7"/>
      <c r="G64" s="7"/>
      <c r="H64" s="7"/>
      <c r="I64" s="7"/>
      <c r="J64" s="7"/>
      <c r="K64" s="7"/>
      <c r="L64" s="7"/>
      <c r="M64" s="15"/>
      <c r="N64" s="15"/>
      <c r="O64" s="7"/>
      <c r="P64" s="7"/>
      <c r="Q64" s="7"/>
      <c r="R64" s="15"/>
      <c r="S64" s="7"/>
      <c r="T64" s="15"/>
      <c r="U64" s="15"/>
      <c r="V64" s="15"/>
      <c r="W64" s="7"/>
      <c r="X64" s="7"/>
      <c r="Y64" s="15"/>
      <c r="Z64" s="6"/>
      <c r="AA64" s="8"/>
      <c r="AB64" s="8"/>
      <c r="AC64" s="8"/>
      <c r="AD64" s="8"/>
      <c r="AE64" s="8"/>
      <c r="AF64" s="6"/>
      <c r="AG64" s="7"/>
      <c r="AH64" s="7"/>
      <c r="AI64" s="8"/>
      <c r="AJ64" s="8"/>
      <c r="AK64" s="8"/>
      <c r="AL64" s="8"/>
      <c r="AM64" s="8"/>
    </row>
    <row r="65" spans="1:39" s="16" customFormat="1" x14ac:dyDescent="0.25">
      <c r="A65" s="6">
        <f>A62+1</f>
        <v>53</v>
      </c>
      <c r="B65" s="6">
        <v>576</v>
      </c>
      <c r="C65" s="69" t="s">
        <v>206</v>
      </c>
      <c r="D65" s="15">
        <f>45113000+1200000</f>
        <v>46313000</v>
      </c>
      <c r="E65" s="7">
        <v>45113000</v>
      </c>
      <c r="F65" s="7">
        <f>D65-E65</f>
        <v>1200000</v>
      </c>
      <c r="G65" s="7">
        <v>45113000</v>
      </c>
      <c r="H65" s="7">
        <v>41595726.600000001</v>
      </c>
      <c r="I65" s="7">
        <v>2313511.94</v>
      </c>
      <c r="J65" s="7">
        <v>1726.19</v>
      </c>
      <c r="K65" s="7">
        <f>SUM(I65:J65)</f>
        <v>2315238.13</v>
      </c>
      <c r="L65" s="7">
        <f>H65+K65</f>
        <v>43910964.730000004</v>
      </c>
      <c r="M65" s="15">
        <f>P65+S65</f>
        <v>1202035.2699999958</v>
      </c>
      <c r="N65" s="15">
        <v>1200000</v>
      </c>
      <c r="O65" s="7">
        <f>D65-L65-M65-N65</f>
        <v>0</v>
      </c>
      <c r="P65" s="7">
        <f>G65-L65</f>
        <v>1202035.2699999958</v>
      </c>
      <c r="Q65" s="7"/>
      <c r="R65" s="15"/>
      <c r="S65" s="7">
        <f>SUM(Q65:R65)</f>
        <v>0</v>
      </c>
      <c r="T65" s="15">
        <f>P65-M65+S65</f>
        <v>0</v>
      </c>
      <c r="U65" s="15">
        <f>N65-T65</f>
        <v>1200000</v>
      </c>
      <c r="V65" s="15">
        <f>U65-W65-X65-Y65</f>
        <v>0</v>
      </c>
      <c r="W65" s="7"/>
      <c r="X65" s="7"/>
      <c r="Y65" s="15">
        <v>1200000</v>
      </c>
      <c r="Z65" s="6">
        <v>760000</v>
      </c>
      <c r="AA65" s="8"/>
      <c r="AB65" s="9"/>
      <c r="AC65" s="9"/>
      <c r="AD65" s="9"/>
      <c r="AE65" s="9"/>
      <c r="AF65" s="3"/>
      <c r="AG65" s="3"/>
      <c r="AH65" s="7">
        <f>V65-AG65</f>
        <v>0</v>
      </c>
      <c r="AI65" s="9"/>
      <c r="AJ65" s="9"/>
      <c r="AK65" s="9"/>
      <c r="AL65" s="9"/>
      <c r="AM65" s="9"/>
    </row>
    <row r="66" spans="1:39" s="75" customFormat="1" ht="15.6" x14ac:dyDescent="0.25">
      <c r="A66" s="11"/>
      <c r="B66" s="11"/>
      <c r="C66" s="391"/>
      <c r="D66" s="217">
        <f>SUM(D65)</f>
        <v>46313000</v>
      </c>
      <c r="E66" s="217">
        <f t="shared" ref="E66:Y66" si="28">SUM(E65)</f>
        <v>45113000</v>
      </c>
      <c r="F66" s="217">
        <f t="shared" si="28"/>
        <v>1200000</v>
      </c>
      <c r="G66" s="217">
        <f t="shared" si="28"/>
        <v>45113000</v>
      </c>
      <c r="H66" s="217">
        <f t="shared" si="28"/>
        <v>41595726.600000001</v>
      </c>
      <c r="I66" s="217">
        <f t="shared" si="28"/>
        <v>2313511.94</v>
      </c>
      <c r="J66" s="217">
        <f t="shared" si="28"/>
        <v>1726.19</v>
      </c>
      <c r="K66" s="217">
        <f t="shared" si="28"/>
        <v>2315238.13</v>
      </c>
      <c r="L66" s="217">
        <f t="shared" si="28"/>
        <v>43910964.730000004</v>
      </c>
      <c r="M66" s="217">
        <f t="shared" si="28"/>
        <v>1202035.2699999958</v>
      </c>
      <c r="N66" s="217">
        <f t="shared" si="28"/>
        <v>1200000</v>
      </c>
      <c r="O66" s="217">
        <f t="shared" si="28"/>
        <v>0</v>
      </c>
      <c r="P66" s="217">
        <f t="shared" si="28"/>
        <v>1202035.2699999958</v>
      </c>
      <c r="Q66" s="217">
        <f t="shared" si="28"/>
        <v>0</v>
      </c>
      <c r="R66" s="217">
        <f t="shared" si="28"/>
        <v>0</v>
      </c>
      <c r="S66" s="217">
        <f t="shared" si="28"/>
        <v>0</v>
      </c>
      <c r="T66" s="217">
        <f t="shared" si="28"/>
        <v>0</v>
      </c>
      <c r="U66" s="217">
        <f t="shared" si="28"/>
        <v>1200000</v>
      </c>
      <c r="V66" s="217">
        <f t="shared" si="28"/>
        <v>0</v>
      </c>
      <c r="W66" s="217">
        <f t="shared" si="28"/>
        <v>0</v>
      </c>
      <c r="X66" s="217">
        <f t="shared" si="28"/>
        <v>0</v>
      </c>
      <c r="Y66" s="217">
        <f t="shared" si="28"/>
        <v>1200000</v>
      </c>
      <c r="Z66" s="11"/>
      <c r="AA66" s="13"/>
      <c r="AB66" s="13"/>
      <c r="AC66" s="13"/>
      <c r="AD66" s="13"/>
      <c r="AE66" s="13"/>
      <c r="AF66" s="11"/>
      <c r="AG66" s="11"/>
      <c r="AH66" s="12"/>
      <c r="AI66" s="13"/>
      <c r="AJ66" s="13"/>
      <c r="AK66" s="13"/>
      <c r="AL66" s="13"/>
      <c r="AM66" s="13"/>
    </row>
    <row r="67" spans="1:39" s="16" customFormat="1" x14ac:dyDescent="0.25">
      <c r="A67" s="6"/>
      <c r="B67" s="6"/>
      <c r="C67" s="69"/>
      <c r="D67" s="15"/>
      <c r="E67" s="7"/>
      <c r="F67" s="7"/>
      <c r="G67" s="7"/>
      <c r="H67" s="7"/>
      <c r="I67" s="7"/>
      <c r="J67" s="7"/>
      <c r="K67" s="7"/>
      <c r="L67" s="7"/>
      <c r="M67" s="15"/>
      <c r="N67" s="15"/>
      <c r="O67" s="7"/>
      <c r="P67" s="7"/>
      <c r="Q67" s="7"/>
      <c r="R67" s="15"/>
      <c r="S67" s="7"/>
      <c r="T67" s="15"/>
      <c r="U67" s="15"/>
      <c r="V67" s="15"/>
      <c r="W67" s="7"/>
      <c r="X67" s="7"/>
      <c r="Y67" s="15"/>
      <c r="Z67" s="6"/>
      <c r="AA67" s="8"/>
      <c r="AB67" s="9"/>
      <c r="AC67" s="9"/>
      <c r="AD67" s="9"/>
      <c r="AE67" s="9"/>
      <c r="AF67" s="3"/>
      <c r="AG67" s="3"/>
      <c r="AH67" s="7"/>
      <c r="AI67" s="9"/>
      <c r="AJ67" s="9"/>
      <c r="AK67" s="9"/>
      <c r="AL67" s="9"/>
      <c r="AM67" s="9"/>
    </row>
    <row r="68" spans="1:39" s="16" customFormat="1" x14ac:dyDescent="0.25">
      <c r="A68" s="6">
        <f>A65+1</f>
        <v>54</v>
      </c>
      <c r="B68" s="6">
        <v>1751</v>
      </c>
      <c r="C68" s="69" t="s">
        <v>263</v>
      </c>
      <c r="D68" s="15">
        <v>4800000</v>
      </c>
      <c r="E68" s="7">
        <v>4800000</v>
      </c>
      <c r="F68" s="7">
        <f t="shared" ref="F68:F106" si="29">D68-E68</f>
        <v>0</v>
      </c>
      <c r="G68" s="7">
        <f>350000+50000</f>
        <v>400000</v>
      </c>
      <c r="H68" s="7">
        <v>248805</v>
      </c>
      <c r="I68" s="7">
        <v>50355.21</v>
      </c>
      <c r="J68" s="7"/>
      <c r="K68" s="7">
        <f>SUM(I68:J68)</f>
        <v>50355.21</v>
      </c>
      <c r="L68" s="7">
        <f>H68+K68</f>
        <v>299160.21000000002</v>
      </c>
      <c r="M68" s="15">
        <f>P68+S68</f>
        <v>2200839.79</v>
      </c>
      <c r="N68" s="15">
        <f>1500000-750000+750000</f>
        <v>1500000</v>
      </c>
      <c r="O68" s="7">
        <f t="shared" ref="O68:O106" si="30">D68-L68-M68-N68</f>
        <v>800000</v>
      </c>
      <c r="P68" s="7">
        <f>G68-L68</f>
        <v>100839.78999999998</v>
      </c>
      <c r="Q68" s="197">
        <f>150000-50000</f>
        <v>100000</v>
      </c>
      <c r="R68" s="197">
        <v>2000000</v>
      </c>
      <c r="S68" s="7">
        <f>SUM(Q68:R68)</f>
        <v>2100000</v>
      </c>
      <c r="T68" s="15">
        <f>P68-M68+S68</f>
        <v>0</v>
      </c>
      <c r="U68" s="15">
        <f t="shared" ref="U68:U106" si="31">N68-T68</f>
        <v>1500000</v>
      </c>
      <c r="V68" s="15">
        <f>U68-W68-X68-Y68</f>
        <v>1500000</v>
      </c>
      <c r="W68" s="7"/>
      <c r="X68" s="7"/>
      <c r="Y68" s="14"/>
      <c r="Z68" s="6">
        <v>810000</v>
      </c>
      <c r="AA68" s="8"/>
      <c r="AB68" s="8"/>
      <c r="AC68" s="8"/>
      <c r="AD68" s="8"/>
      <c r="AE68" s="8"/>
      <c r="AF68" s="6"/>
      <c r="AG68" s="7"/>
      <c r="AH68" s="7">
        <f t="shared" ref="AH68:AH106" si="32">V68-AG68</f>
        <v>1500000</v>
      </c>
      <c r="AI68" s="8"/>
      <c r="AJ68" s="8"/>
      <c r="AK68" s="8"/>
      <c r="AL68" s="8"/>
      <c r="AM68" s="8"/>
    </row>
    <row r="69" spans="1:39" x14ac:dyDescent="0.25">
      <c r="A69" s="6">
        <f>A68+1</f>
        <v>55</v>
      </c>
      <c r="B69" s="14">
        <v>1825</v>
      </c>
      <c r="C69" s="14" t="s">
        <v>502</v>
      </c>
      <c r="D69" s="15">
        <f>23500000+11500000</f>
        <v>35000000</v>
      </c>
      <c r="E69" s="15">
        <v>23500000</v>
      </c>
      <c r="F69" s="7">
        <f t="shared" si="29"/>
        <v>11500000</v>
      </c>
      <c r="G69" s="15">
        <v>700000</v>
      </c>
      <c r="H69" s="15">
        <v>0</v>
      </c>
      <c r="I69" s="15">
        <v>30818.74</v>
      </c>
      <c r="J69" s="15"/>
      <c r="K69" s="15">
        <f>SUM(I69:J69)</f>
        <v>30818.74</v>
      </c>
      <c r="L69" s="15">
        <f>H69+K69</f>
        <v>30818.74</v>
      </c>
      <c r="M69" s="15">
        <f>P69+S69</f>
        <v>669181.26</v>
      </c>
      <c r="N69" s="15">
        <f>23000000-3000000-2000000-3000000-1000000</f>
        <v>14000000</v>
      </c>
      <c r="O69" s="15">
        <f t="shared" si="30"/>
        <v>20300000</v>
      </c>
      <c r="P69" s="15">
        <f>G69-L69</f>
        <v>669181.26</v>
      </c>
      <c r="Q69" s="15"/>
      <c r="R69" s="15"/>
      <c r="S69" s="15">
        <f>SUM(Q69:R69)</f>
        <v>0</v>
      </c>
      <c r="T69" s="15">
        <f>P69-M69+S69</f>
        <v>0</v>
      </c>
      <c r="U69" s="15">
        <f t="shared" si="31"/>
        <v>14000000</v>
      </c>
      <c r="V69" s="15">
        <f>U69-Y69-W69-X69</f>
        <v>1537850.299999997</v>
      </c>
      <c r="W69" s="15"/>
      <c r="X69" s="15"/>
      <c r="Y69" s="15">
        <v>12462149.700000003</v>
      </c>
      <c r="Z69" s="14">
        <v>810000</v>
      </c>
      <c r="AA69" s="16"/>
      <c r="AB69" s="16"/>
      <c r="AC69" s="16"/>
      <c r="AD69" s="16"/>
      <c r="AE69" s="16"/>
      <c r="AF69" s="14"/>
      <c r="AG69" s="7"/>
      <c r="AH69" s="232">
        <f t="shared" si="32"/>
        <v>1537850.299999997</v>
      </c>
      <c r="AI69" s="16"/>
      <c r="AJ69" s="16"/>
      <c r="AK69" s="16"/>
      <c r="AL69" s="16"/>
      <c r="AM69" s="16"/>
    </row>
    <row r="70" spans="1:39" ht="15.6" x14ac:dyDescent="0.25">
      <c r="A70" s="6">
        <f t="shared" ref="A70:A106" si="33">A69+1</f>
        <v>56</v>
      </c>
      <c r="B70" s="61">
        <v>1847</v>
      </c>
      <c r="C70" s="14" t="s">
        <v>747</v>
      </c>
      <c r="D70" s="15">
        <f>7200000+140000</f>
        <v>7340000</v>
      </c>
      <c r="E70" s="7">
        <f>7200000+140000</f>
        <v>7340000</v>
      </c>
      <c r="F70" s="7">
        <f t="shared" si="29"/>
        <v>0</v>
      </c>
      <c r="G70" s="7">
        <f>2600000+1000000</f>
        <v>3600000</v>
      </c>
      <c r="H70" s="7">
        <v>2500752</v>
      </c>
      <c r="I70" s="7">
        <v>1097352</v>
      </c>
      <c r="J70" s="7"/>
      <c r="K70" s="7">
        <f>SUM(I70:J70)</f>
        <v>1097352</v>
      </c>
      <c r="L70" s="7">
        <f>H70+K70</f>
        <v>3598104</v>
      </c>
      <c r="M70" s="15">
        <f>P70+S70</f>
        <v>3741896</v>
      </c>
      <c r="N70" s="15"/>
      <c r="O70" s="7">
        <f t="shared" si="30"/>
        <v>0</v>
      </c>
      <c r="P70" s="7">
        <f>G70-L70</f>
        <v>1896</v>
      </c>
      <c r="Q70" s="7">
        <f>1000000-1000000</f>
        <v>0</v>
      </c>
      <c r="R70" s="152">
        <v>3740000</v>
      </c>
      <c r="S70" s="7">
        <f>SUM(Q70:R70)</f>
        <v>3740000</v>
      </c>
      <c r="T70" s="15">
        <f>P70-M70+S70</f>
        <v>0</v>
      </c>
      <c r="U70" s="15">
        <f t="shared" si="31"/>
        <v>0</v>
      </c>
      <c r="V70" s="15">
        <f>U70-W70-X70-Y70</f>
        <v>0</v>
      </c>
      <c r="W70" s="7"/>
      <c r="X70" s="7"/>
      <c r="Y70" s="14"/>
      <c r="Z70" s="6">
        <v>810000</v>
      </c>
      <c r="AA70" s="13"/>
      <c r="AB70" s="17"/>
      <c r="AC70" s="17"/>
      <c r="AD70" s="17"/>
      <c r="AE70" s="17"/>
      <c r="AF70" s="167"/>
      <c r="AG70" s="167"/>
      <c r="AH70" s="7">
        <f t="shared" si="32"/>
        <v>0</v>
      </c>
    </row>
    <row r="71" spans="1:39" x14ac:dyDescent="0.25">
      <c r="A71" s="6">
        <f t="shared" si="33"/>
        <v>57</v>
      </c>
      <c r="B71" s="6">
        <v>1854</v>
      </c>
      <c r="C71" s="14" t="s">
        <v>430</v>
      </c>
      <c r="D71" s="15">
        <v>5600000</v>
      </c>
      <c r="E71" s="7">
        <v>8000000</v>
      </c>
      <c r="F71" s="7">
        <f t="shared" si="29"/>
        <v>-2400000</v>
      </c>
      <c r="G71" s="7">
        <v>200000</v>
      </c>
      <c r="H71" s="7">
        <v>10033</v>
      </c>
      <c r="I71" s="7">
        <v>189922</v>
      </c>
      <c r="J71" s="7"/>
      <c r="K71" s="7">
        <f>SUM(I71:J71)</f>
        <v>189922</v>
      </c>
      <c r="L71" s="7">
        <f>H71+K71</f>
        <v>199955</v>
      </c>
      <c r="M71" s="15">
        <f>P71+S71</f>
        <v>2401165</v>
      </c>
      <c r="N71" s="15">
        <v>2998880</v>
      </c>
      <c r="O71" s="7">
        <f t="shared" si="30"/>
        <v>0</v>
      </c>
      <c r="P71" s="7">
        <f>G71-L71</f>
        <v>45</v>
      </c>
      <c r="Q71" s="197">
        <v>2401120</v>
      </c>
      <c r="R71" s="7"/>
      <c r="S71" s="7">
        <f>SUM(Q71:R71)</f>
        <v>2401120</v>
      </c>
      <c r="T71" s="15">
        <f>P71-M71+S71</f>
        <v>0</v>
      </c>
      <c r="U71" s="15">
        <f t="shared" si="31"/>
        <v>2998880</v>
      </c>
      <c r="V71" s="15">
        <f>U71-W71-X71-Y71</f>
        <v>2998880</v>
      </c>
      <c r="W71" s="7"/>
      <c r="X71" s="7"/>
      <c r="Y71" s="15"/>
      <c r="Z71" s="6">
        <v>810000</v>
      </c>
      <c r="AA71" s="54"/>
      <c r="AB71" s="8"/>
      <c r="AC71" s="8"/>
      <c r="AD71" s="8"/>
      <c r="AE71" s="8"/>
      <c r="AF71" s="6"/>
      <c r="AG71" s="6"/>
      <c r="AH71" s="7">
        <f t="shared" si="32"/>
        <v>2998880</v>
      </c>
      <c r="AI71" s="8"/>
      <c r="AJ71" s="8"/>
      <c r="AK71" s="8"/>
      <c r="AL71" s="8"/>
      <c r="AM71" s="8"/>
    </row>
    <row r="72" spans="1:39" ht="15.6" x14ac:dyDescent="0.25">
      <c r="A72" s="6">
        <f t="shared" si="33"/>
        <v>58</v>
      </c>
      <c r="B72" s="61">
        <v>1894</v>
      </c>
      <c r="C72" s="14" t="s">
        <v>748</v>
      </c>
      <c r="D72" s="15">
        <f>3600000+3500000</f>
        <v>7100000</v>
      </c>
      <c r="E72" s="7">
        <v>7100000</v>
      </c>
      <c r="F72" s="7">
        <f t="shared" si="29"/>
        <v>0</v>
      </c>
      <c r="G72" s="7">
        <v>700000</v>
      </c>
      <c r="H72" s="7">
        <v>63175</v>
      </c>
      <c r="I72" s="7">
        <v>636601.21</v>
      </c>
      <c r="J72" s="7"/>
      <c r="K72" s="7">
        <f>SUM(I72:J72)</f>
        <v>636601.21</v>
      </c>
      <c r="L72" s="7">
        <f>H72+K72</f>
        <v>699776.21</v>
      </c>
      <c r="M72" s="15">
        <f>P72+S72</f>
        <v>6400223.79</v>
      </c>
      <c r="N72" s="15"/>
      <c r="O72" s="7">
        <f t="shared" si="30"/>
        <v>0</v>
      </c>
      <c r="P72" s="7">
        <f>G72-L72</f>
        <v>223.79000000003725</v>
      </c>
      <c r="Q72" s="7"/>
      <c r="R72" s="197">
        <f>2900000+3500000</f>
        <v>6400000</v>
      </c>
      <c r="S72" s="7">
        <f>SUM(Q72:R72)</f>
        <v>6400000</v>
      </c>
      <c r="T72" s="15">
        <f>P72-M72+S72</f>
        <v>0</v>
      </c>
      <c r="U72" s="15">
        <f t="shared" si="31"/>
        <v>0</v>
      </c>
      <c r="V72" s="15">
        <f>U72-W72-X72-Y72</f>
        <v>0</v>
      </c>
      <c r="W72" s="7"/>
      <c r="X72" s="7"/>
      <c r="Y72" s="14"/>
      <c r="Z72" s="6">
        <v>810000</v>
      </c>
      <c r="AA72" s="13"/>
      <c r="AB72" s="17"/>
      <c r="AC72" s="17"/>
      <c r="AD72" s="17"/>
      <c r="AE72" s="17"/>
      <c r="AF72" s="167"/>
      <c r="AG72" s="167"/>
      <c r="AH72" s="7">
        <f t="shared" si="32"/>
        <v>0</v>
      </c>
    </row>
    <row r="73" spans="1:39" s="8" customFormat="1" ht="15" customHeight="1" x14ac:dyDescent="0.25">
      <c r="A73" s="6">
        <f t="shared" si="33"/>
        <v>59</v>
      </c>
      <c r="B73" s="84">
        <v>1957</v>
      </c>
      <c r="C73" s="14" t="s">
        <v>543</v>
      </c>
      <c r="D73" s="15">
        <v>60000000</v>
      </c>
      <c r="E73" s="7"/>
      <c r="F73" s="7">
        <f t="shared" si="29"/>
        <v>60000000</v>
      </c>
      <c r="G73" s="7"/>
      <c r="H73" s="7"/>
      <c r="I73" s="7"/>
      <c r="J73" s="7"/>
      <c r="K73" s="7"/>
      <c r="L73" s="7"/>
      <c r="M73" s="15"/>
      <c r="N73" s="15">
        <f>6000000-1500000-2000000-1000000</f>
        <v>1500000</v>
      </c>
      <c r="O73" s="88">
        <f t="shared" si="30"/>
        <v>58500000</v>
      </c>
      <c r="P73" s="7"/>
      <c r="Q73" s="7"/>
      <c r="R73" s="7"/>
      <c r="S73" s="7"/>
      <c r="T73" s="15"/>
      <c r="U73" s="15">
        <f t="shared" si="31"/>
        <v>1500000</v>
      </c>
      <c r="V73" s="15">
        <f>U73-W73-X73-Y73</f>
        <v>1500000</v>
      </c>
      <c r="W73" s="7"/>
      <c r="X73" s="7"/>
      <c r="Y73" s="14"/>
      <c r="Z73" s="6">
        <v>810000</v>
      </c>
      <c r="AA73" s="13"/>
      <c r="AB73" s="17"/>
      <c r="AC73" s="17"/>
      <c r="AD73" s="17"/>
      <c r="AE73" s="17"/>
      <c r="AF73" s="167"/>
      <c r="AG73" s="7"/>
      <c r="AH73" s="232">
        <f t="shared" si="32"/>
        <v>1500000</v>
      </c>
      <c r="AI73" s="21"/>
      <c r="AJ73" s="21"/>
      <c r="AK73" s="21"/>
      <c r="AL73" s="21"/>
      <c r="AM73" s="21"/>
    </row>
    <row r="74" spans="1:39" x14ac:dyDescent="0.25">
      <c r="A74" s="6">
        <f t="shared" si="33"/>
        <v>60</v>
      </c>
      <c r="B74" s="6">
        <v>1906</v>
      </c>
      <c r="C74" s="14" t="s">
        <v>321</v>
      </c>
      <c r="D74" s="15">
        <v>10000000</v>
      </c>
      <c r="E74" s="7">
        <v>650000</v>
      </c>
      <c r="F74" s="7">
        <f t="shared" si="29"/>
        <v>9350000</v>
      </c>
      <c r="G74" s="7">
        <v>0</v>
      </c>
      <c r="H74" s="7">
        <v>0</v>
      </c>
      <c r="I74" s="7"/>
      <c r="J74" s="7"/>
      <c r="K74" s="7">
        <f t="shared" ref="K74:K80" si="34">SUM(I74:J74)</f>
        <v>0</v>
      </c>
      <c r="L74" s="7">
        <f t="shared" ref="L74:L80" si="35">H74+K74</f>
        <v>0</v>
      </c>
      <c r="M74" s="15">
        <f t="shared" ref="M74:M82" si="36">P74+S74</f>
        <v>650000</v>
      </c>
      <c r="N74" s="15">
        <f>9350000-1000000</f>
        <v>8350000</v>
      </c>
      <c r="O74" s="7">
        <f t="shared" si="30"/>
        <v>1000000</v>
      </c>
      <c r="P74" s="7">
        <f t="shared" ref="P74:P82" si="37">G74-L74</f>
        <v>0</v>
      </c>
      <c r="Q74" s="7"/>
      <c r="R74" s="197">
        <v>650000</v>
      </c>
      <c r="S74" s="7">
        <f t="shared" ref="S74:S83" si="38">SUM(Q74:R74)</f>
        <v>650000</v>
      </c>
      <c r="T74" s="15">
        <f t="shared" ref="T74:T83" si="39">P74-M74+S74</f>
        <v>0</v>
      </c>
      <c r="U74" s="15">
        <f t="shared" si="31"/>
        <v>8350000</v>
      </c>
      <c r="V74" s="15">
        <f>U74-Y74-W74-X74</f>
        <v>5100000</v>
      </c>
      <c r="W74" s="7"/>
      <c r="X74" s="7"/>
      <c r="Y74" s="15">
        <v>3250000</v>
      </c>
      <c r="Z74" s="6">
        <v>810000</v>
      </c>
      <c r="AA74" s="8"/>
      <c r="AB74" s="8"/>
      <c r="AC74" s="8"/>
      <c r="AD74" s="8"/>
      <c r="AE74" s="8"/>
      <c r="AF74" s="6"/>
      <c r="AG74" s="6"/>
      <c r="AH74" s="232">
        <f t="shared" si="32"/>
        <v>5100000</v>
      </c>
      <c r="AI74" s="8"/>
      <c r="AJ74" s="8"/>
      <c r="AK74" s="8"/>
      <c r="AL74" s="8"/>
      <c r="AM74" s="8"/>
    </row>
    <row r="75" spans="1:39" x14ac:dyDescent="0.25">
      <c r="A75" s="6">
        <f t="shared" si="33"/>
        <v>61</v>
      </c>
      <c r="B75" s="6">
        <v>1907</v>
      </c>
      <c r="C75" s="14" t="s">
        <v>322</v>
      </c>
      <c r="D75" s="15">
        <v>10000000</v>
      </c>
      <c r="E75" s="7">
        <v>650000</v>
      </c>
      <c r="F75" s="7">
        <f t="shared" si="29"/>
        <v>9350000</v>
      </c>
      <c r="G75" s="7">
        <v>0</v>
      </c>
      <c r="H75" s="7">
        <v>0</v>
      </c>
      <c r="I75" s="7"/>
      <c r="J75" s="7"/>
      <c r="K75" s="7">
        <f t="shared" si="34"/>
        <v>0</v>
      </c>
      <c r="L75" s="7">
        <f t="shared" si="35"/>
        <v>0</v>
      </c>
      <c r="M75" s="15">
        <f t="shared" si="36"/>
        <v>650000</v>
      </c>
      <c r="N75" s="15">
        <f>9350000-4675000</f>
        <v>4675000</v>
      </c>
      <c r="O75" s="7">
        <f t="shared" si="30"/>
        <v>4675000</v>
      </c>
      <c r="P75" s="7">
        <f t="shared" si="37"/>
        <v>0</v>
      </c>
      <c r="Q75" s="7"/>
      <c r="R75" s="197">
        <v>650000</v>
      </c>
      <c r="S75" s="7">
        <f t="shared" si="38"/>
        <v>650000</v>
      </c>
      <c r="T75" s="15">
        <f t="shared" si="39"/>
        <v>0</v>
      </c>
      <c r="U75" s="15">
        <f t="shared" si="31"/>
        <v>4675000</v>
      </c>
      <c r="V75" s="15">
        <f>U75-Y75-W75-X75</f>
        <v>1425000</v>
      </c>
      <c r="W75" s="7"/>
      <c r="X75" s="7"/>
      <c r="Y75" s="15">
        <v>3250000</v>
      </c>
      <c r="Z75" s="6">
        <v>810000</v>
      </c>
      <c r="AA75" s="8"/>
      <c r="AB75" s="8"/>
      <c r="AC75" s="8"/>
      <c r="AD75" s="8"/>
      <c r="AE75" s="8"/>
      <c r="AF75" s="6"/>
      <c r="AG75" s="6"/>
      <c r="AH75" s="7">
        <f t="shared" si="32"/>
        <v>1425000</v>
      </c>
      <c r="AI75" s="8"/>
      <c r="AJ75" s="8"/>
      <c r="AK75" s="8"/>
      <c r="AL75" s="8"/>
      <c r="AM75" s="8"/>
    </row>
    <row r="76" spans="1:39" x14ac:dyDescent="0.25">
      <c r="A76" s="6">
        <f t="shared" si="33"/>
        <v>62</v>
      </c>
      <c r="B76" s="6">
        <v>1908</v>
      </c>
      <c r="C76" s="14" t="s">
        <v>406</v>
      </c>
      <c r="D76" s="15">
        <v>16000000</v>
      </c>
      <c r="E76" s="7">
        <v>1000000</v>
      </c>
      <c r="F76" s="7">
        <f t="shared" si="29"/>
        <v>15000000</v>
      </c>
      <c r="G76" s="7">
        <v>0</v>
      </c>
      <c r="H76" s="7">
        <v>0</v>
      </c>
      <c r="I76" s="7"/>
      <c r="J76" s="7"/>
      <c r="K76" s="7">
        <f t="shared" si="34"/>
        <v>0</v>
      </c>
      <c r="L76" s="7">
        <f t="shared" si="35"/>
        <v>0</v>
      </c>
      <c r="M76" s="15">
        <f t="shared" si="36"/>
        <v>1000000</v>
      </c>
      <c r="N76" s="15">
        <f>15000000-7500000-1000000</f>
        <v>6500000</v>
      </c>
      <c r="O76" s="7">
        <f t="shared" si="30"/>
        <v>8500000</v>
      </c>
      <c r="P76" s="7">
        <f t="shared" si="37"/>
        <v>0</v>
      </c>
      <c r="Q76" s="7"/>
      <c r="R76" s="197">
        <v>1000000</v>
      </c>
      <c r="S76" s="7">
        <f t="shared" si="38"/>
        <v>1000000</v>
      </c>
      <c r="T76" s="15">
        <f t="shared" si="39"/>
        <v>0</v>
      </c>
      <c r="U76" s="15">
        <f t="shared" si="31"/>
        <v>6500000</v>
      </c>
      <c r="V76" s="15">
        <f>U76-Y76-W76-X76</f>
        <v>3363738</v>
      </c>
      <c r="W76" s="7"/>
      <c r="X76" s="7"/>
      <c r="Y76" s="15">
        <f>1625000+1511262</f>
        <v>3136262</v>
      </c>
      <c r="Z76" s="6">
        <v>810000</v>
      </c>
      <c r="AA76" s="8"/>
      <c r="AB76" s="8"/>
      <c r="AC76" s="8"/>
      <c r="AD76" s="8"/>
      <c r="AE76" s="8"/>
      <c r="AF76" s="6"/>
      <c r="AG76" s="6"/>
      <c r="AH76" s="232">
        <f t="shared" si="32"/>
        <v>3363738</v>
      </c>
      <c r="AI76" s="8"/>
      <c r="AJ76" s="8"/>
      <c r="AK76" s="8"/>
      <c r="AL76" s="8"/>
      <c r="AM76" s="8"/>
    </row>
    <row r="77" spans="1:39" s="8" customFormat="1" ht="15" customHeight="1" x14ac:dyDescent="0.25">
      <c r="A77" s="6">
        <f t="shared" si="33"/>
        <v>63</v>
      </c>
      <c r="B77" s="61">
        <v>1909</v>
      </c>
      <c r="C77" s="385" t="s">
        <v>360</v>
      </c>
      <c r="D77" s="15">
        <v>10000000</v>
      </c>
      <c r="E77" s="7">
        <v>650000</v>
      </c>
      <c r="F77" s="7">
        <f t="shared" si="29"/>
        <v>9350000</v>
      </c>
      <c r="G77" s="7">
        <v>0</v>
      </c>
      <c r="H77" s="7">
        <v>0</v>
      </c>
      <c r="I77" s="7"/>
      <c r="J77" s="7"/>
      <c r="K77" s="7">
        <f t="shared" si="34"/>
        <v>0</v>
      </c>
      <c r="L77" s="7">
        <f t="shared" si="35"/>
        <v>0</v>
      </c>
      <c r="M77" s="15">
        <f t="shared" si="36"/>
        <v>650000</v>
      </c>
      <c r="N77" s="15">
        <f>9350000-4675000</f>
        <v>4675000</v>
      </c>
      <c r="O77" s="7">
        <f t="shared" si="30"/>
        <v>4675000</v>
      </c>
      <c r="P77" s="7">
        <f t="shared" si="37"/>
        <v>0</v>
      </c>
      <c r="Q77" s="7"/>
      <c r="R77" s="197">
        <v>650000</v>
      </c>
      <c r="S77" s="7">
        <f t="shared" si="38"/>
        <v>650000</v>
      </c>
      <c r="T77" s="15">
        <f t="shared" si="39"/>
        <v>0</v>
      </c>
      <c r="U77" s="15">
        <f t="shared" si="31"/>
        <v>4675000</v>
      </c>
      <c r="V77" s="15">
        <f>U77-W77-X77-Y77</f>
        <v>1425000</v>
      </c>
      <c r="W77" s="7"/>
      <c r="X77" s="7"/>
      <c r="Y77" s="15">
        <v>3250000</v>
      </c>
      <c r="Z77" s="6">
        <v>810000</v>
      </c>
      <c r="AA77" s="13"/>
      <c r="AB77" s="17"/>
      <c r="AC77" s="17"/>
      <c r="AD77" s="17"/>
      <c r="AE77" s="17"/>
      <c r="AF77" s="167"/>
      <c r="AG77" s="167"/>
      <c r="AH77" s="7">
        <f t="shared" si="32"/>
        <v>1425000</v>
      </c>
      <c r="AI77" s="21"/>
      <c r="AJ77" s="21"/>
      <c r="AK77" s="21"/>
      <c r="AL77" s="21"/>
      <c r="AM77" s="21"/>
    </row>
    <row r="78" spans="1:39" ht="27.6" x14ac:dyDescent="0.25">
      <c r="A78" s="6">
        <f t="shared" si="33"/>
        <v>64</v>
      </c>
      <c r="B78" s="61">
        <v>1911</v>
      </c>
      <c r="C78" s="14" t="s">
        <v>749</v>
      </c>
      <c r="D78" s="15">
        <v>16000000</v>
      </c>
      <c r="E78" s="7">
        <v>750000</v>
      </c>
      <c r="F78" s="7">
        <f t="shared" si="29"/>
        <v>15250000</v>
      </c>
      <c r="G78" s="7">
        <v>0</v>
      </c>
      <c r="H78" s="7">
        <v>0</v>
      </c>
      <c r="I78" s="7"/>
      <c r="J78" s="7"/>
      <c r="K78" s="7">
        <f t="shared" si="34"/>
        <v>0</v>
      </c>
      <c r="L78" s="7">
        <f t="shared" si="35"/>
        <v>0</v>
      </c>
      <c r="M78" s="15">
        <f t="shared" si="36"/>
        <v>750000</v>
      </c>
      <c r="N78" s="15">
        <f>15250000-7625000-5000000</f>
        <v>2625000</v>
      </c>
      <c r="O78" s="7">
        <f t="shared" si="30"/>
        <v>12625000</v>
      </c>
      <c r="P78" s="7">
        <f t="shared" si="37"/>
        <v>0</v>
      </c>
      <c r="Q78" s="7"/>
      <c r="R78" s="197">
        <v>750000</v>
      </c>
      <c r="S78" s="7">
        <f t="shared" si="38"/>
        <v>750000</v>
      </c>
      <c r="T78" s="15">
        <f t="shared" si="39"/>
        <v>0</v>
      </c>
      <c r="U78" s="15">
        <f t="shared" si="31"/>
        <v>2625000</v>
      </c>
      <c r="V78" s="15">
        <f>U78-W78-X78-Y78</f>
        <v>1000000</v>
      </c>
      <c r="W78" s="7"/>
      <c r="X78" s="7"/>
      <c r="Y78" s="15">
        <v>1625000</v>
      </c>
      <c r="Z78" s="6">
        <v>810000</v>
      </c>
      <c r="AA78" s="13"/>
      <c r="AB78" s="17"/>
      <c r="AC78" s="17"/>
      <c r="AD78" s="17"/>
      <c r="AE78" s="17"/>
      <c r="AF78" s="167"/>
      <c r="AG78" s="167"/>
      <c r="AH78" s="7">
        <f t="shared" si="32"/>
        <v>1000000</v>
      </c>
      <c r="AK78" s="227"/>
    </row>
    <row r="79" spans="1:39" ht="27.6" x14ac:dyDescent="0.25">
      <c r="A79" s="6">
        <f t="shared" si="33"/>
        <v>65</v>
      </c>
      <c r="B79" s="61">
        <v>1912</v>
      </c>
      <c r="C79" s="14" t="s">
        <v>717</v>
      </c>
      <c r="D79" s="15">
        <v>100000000</v>
      </c>
      <c r="E79" s="7">
        <v>1000000</v>
      </c>
      <c r="F79" s="7">
        <f t="shared" si="29"/>
        <v>99000000</v>
      </c>
      <c r="G79" s="7">
        <v>200000</v>
      </c>
      <c r="H79" s="7">
        <v>0</v>
      </c>
      <c r="I79" s="7"/>
      <c r="J79" s="7"/>
      <c r="K79" s="7">
        <f t="shared" si="34"/>
        <v>0</v>
      </c>
      <c r="L79" s="7">
        <f t="shared" si="35"/>
        <v>0</v>
      </c>
      <c r="M79" s="15">
        <f t="shared" si="36"/>
        <v>1000000</v>
      </c>
      <c r="N79" s="15">
        <v>4000000</v>
      </c>
      <c r="O79" s="7">
        <f t="shared" si="30"/>
        <v>95000000</v>
      </c>
      <c r="P79" s="7">
        <f t="shared" si="37"/>
        <v>200000</v>
      </c>
      <c r="Q79" s="7"/>
      <c r="R79" s="197">
        <v>800000</v>
      </c>
      <c r="S79" s="7">
        <f t="shared" si="38"/>
        <v>800000</v>
      </c>
      <c r="T79" s="15">
        <f t="shared" si="39"/>
        <v>0</v>
      </c>
      <c r="U79" s="15">
        <f t="shared" si="31"/>
        <v>4000000</v>
      </c>
      <c r="V79" s="15">
        <f>U79-Y79-W79-X79</f>
        <v>4000000</v>
      </c>
      <c r="W79" s="7"/>
      <c r="X79" s="7"/>
      <c r="Y79" s="14"/>
      <c r="Z79" s="6">
        <v>810000</v>
      </c>
      <c r="AA79" s="13"/>
      <c r="AB79" s="17"/>
      <c r="AC79" s="17"/>
      <c r="AD79" s="17"/>
      <c r="AE79" s="17"/>
      <c r="AF79" s="167"/>
      <c r="AG79" s="167"/>
      <c r="AH79" s="7">
        <f t="shared" si="32"/>
        <v>4000000</v>
      </c>
      <c r="AK79" s="227"/>
    </row>
    <row r="80" spans="1:39" ht="15.6" x14ac:dyDescent="0.25">
      <c r="A80" s="6">
        <f t="shared" si="33"/>
        <v>66</v>
      </c>
      <c r="B80" s="61">
        <v>1913</v>
      </c>
      <c r="C80" s="14" t="s">
        <v>750</v>
      </c>
      <c r="D80" s="15">
        <v>400000</v>
      </c>
      <c r="E80" s="7">
        <v>400000</v>
      </c>
      <c r="F80" s="7">
        <f t="shared" si="29"/>
        <v>0</v>
      </c>
      <c r="G80" s="7">
        <v>100000</v>
      </c>
      <c r="H80" s="7">
        <v>0</v>
      </c>
      <c r="I80" s="7"/>
      <c r="J80" s="7"/>
      <c r="K80" s="7">
        <f t="shared" si="34"/>
        <v>0</v>
      </c>
      <c r="L80" s="7">
        <f t="shared" si="35"/>
        <v>0</v>
      </c>
      <c r="M80" s="15">
        <f t="shared" si="36"/>
        <v>400000</v>
      </c>
      <c r="N80" s="15"/>
      <c r="O80" s="7">
        <f t="shared" si="30"/>
        <v>0</v>
      </c>
      <c r="P80" s="7">
        <f t="shared" si="37"/>
        <v>100000</v>
      </c>
      <c r="Q80" s="7"/>
      <c r="R80" s="197">
        <v>300000</v>
      </c>
      <c r="S80" s="7">
        <f t="shared" si="38"/>
        <v>300000</v>
      </c>
      <c r="T80" s="15">
        <f t="shared" si="39"/>
        <v>0</v>
      </c>
      <c r="U80" s="15">
        <f t="shared" si="31"/>
        <v>0</v>
      </c>
      <c r="V80" s="15">
        <f>U80-Y80-W80-X80</f>
        <v>0</v>
      </c>
      <c r="W80" s="7"/>
      <c r="X80" s="7"/>
      <c r="Y80" s="14"/>
      <c r="Z80" s="6">
        <v>810000</v>
      </c>
      <c r="AA80" s="13"/>
      <c r="AB80" s="17"/>
      <c r="AC80" s="17"/>
      <c r="AD80" s="17"/>
      <c r="AE80" s="17"/>
      <c r="AF80" s="167"/>
      <c r="AG80" s="167"/>
      <c r="AH80" s="7">
        <f t="shared" si="32"/>
        <v>0</v>
      </c>
      <c r="AK80" s="19"/>
    </row>
    <row r="81" spans="1:39" ht="15.6" x14ac:dyDescent="0.25">
      <c r="A81" s="6">
        <f t="shared" si="33"/>
        <v>67</v>
      </c>
      <c r="B81" s="61">
        <v>1914</v>
      </c>
      <c r="C81" s="14" t="s">
        <v>751</v>
      </c>
      <c r="D81" s="15">
        <v>7500000</v>
      </c>
      <c r="E81" s="7">
        <v>300000</v>
      </c>
      <c r="F81" s="7">
        <f t="shared" si="29"/>
        <v>7200000</v>
      </c>
      <c r="G81" s="7">
        <v>100000</v>
      </c>
      <c r="H81" s="7"/>
      <c r="I81" s="7"/>
      <c r="J81" s="7"/>
      <c r="K81" s="7"/>
      <c r="L81" s="7"/>
      <c r="M81" s="15">
        <f t="shared" si="36"/>
        <v>300000</v>
      </c>
      <c r="N81" s="15">
        <f>7400000-200000-3600000-1000000</f>
        <v>2600000</v>
      </c>
      <c r="O81" s="7">
        <f t="shared" si="30"/>
        <v>4600000</v>
      </c>
      <c r="P81" s="7">
        <f t="shared" si="37"/>
        <v>100000</v>
      </c>
      <c r="Q81" s="7"/>
      <c r="R81" s="197">
        <v>200000</v>
      </c>
      <c r="S81" s="7">
        <f t="shared" si="38"/>
        <v>200000</v>
      </c>
      <c r="T81" s="15">
        <f t="shared" si="39"/>
        <v>0</v>
      </c>
      <c r="U81" s="15">
        <f t="shared" si="31"/>
        <v>2600000</v>
      </c>
      <c r="V81" s="15">
        <f t="shared" ref="V81:V86" si="40">U81-W81-X81-Y81</f>
        <v>2600000</v>
      </c>
      <c r="W81" s="7"/>
      <c r="X81" s="7"/>
      <c r="Y81" s="14"/>
      <c r="Z81" s="6">
        <v>810000</v>
      </c>
      <c r="AA81" s="13"/>
      <c r="AB81" s="17"/>
      <c r="AC81" s="17"/>
      <c r="AD81" s="17"/>
      <c r="AE81" s="17"/>
      <c r="AF81" s="167"/>
      <c r="AG81" s="167"/>
      <c r="AH81" s="232">
        <f t="shared" si="32"/>
        <v>2600000</v>
      </c>
    </row>
    <row r="82" spans="1:39" ht="15.6" x14ac:dyDescent="0.25">
      <c r="A82" s="6">
        <f t="shared" si="33"/>
        <v>68</v>
      </c>
      <c r="B82" s="74">
        <v>1919</v>
      </c>
      <c r="C82" s="14" t="s">
        <v>334</v>
      </c>
      <c r="D82" s="15">
        <v>135100000</v>
      </c>
      <c r="E82" s="15">
        <v>135100000</v>
      </c>
      <c r="F82" s="7">
        <f t="shared" si="29"/>
        <v>0</v>
      </c>
      <c r="G82" s="15">
        <v>7684514</v>
      </c>
      <c r="H82" s="15">
        <v>37206</v>
      </c>
      <c r="I82" s="15">
        <v>68094</v>
      </c>
      <c r="J82" s="15"/>
      <c r="K82" s="15">
        <f>SUM(I82:J82)</f>
        <v>68094</v>
      </c>
      <c r="L82" s="15">
        <f>H82+K82</f>
        <v>105300</v>
      </c>
      <c r="M82" s="15">
        <f t="shared" si="36"/>
        <v>7579214</v>
      </c>
      <c r="N82" s="15"/>
      <c r="O82" s="7">
        <f t="shared" si="30"/>
        <v>127415486</v>
      </c>
      <c r="P82" s="15">
        <f t="shared" si="37"/>
        <v>7579214</v>
      </c>
      <c r="Q82" s="15"/>
      <c r="R82" s="194"/>
      <c r="S82" s="15">
        <f t="shared" si="38"/>
        <v>0</v>
      </c>
      <c r="T82" s="15">
        <f t="shared" si="39"/>
        <v>0</v>
      </c>
      <c r="U82" s="15">
        <f t="shared" si="31"/>
        <v>0</v>
      </c>
      <c r="V82" s="15">
        <f t="shared" si="40"/>
        <v>0</v>
      </c>
      <c r="W82" s="15"/>
      <c r="X82" s="15"/>
      <c r="Y82" s="14"/>
      <c r="Z82" s="14">
        <v>810000</v>
      </c>
      <c r="AA82" s="75"/>
      <c r="AB82" s="76"/>
      <c r="AC82" s="76"/>
      <c r="AD82" s="76"/>
      <c r="AE82" s="76"/>
      <c r="AF82" s="249"/>
      <c r="AG82" s="249"/>
      <c r="AH82" s="7">
        <f t="shared" si="32"/>
        <v>0</v>
      </c>
      <c r="AI82" s="77"/>
      <c r="AJ82" s="77"/>
      <c r="AK82" s="236"/>
      <c r="AM82" s="77"/>
    </row>
    <row r="83" spans="1:39" ht="15.6" x14ac:dyDescent="0.25">
      <c r="A83" s="6">
        <f t="shared" si="33"/>
        <v>69</v>
      </c>
      <c r="B83" s="84">
        <v>1959</v>
      </c>
      <c r="C83" s="14" t="s">
        <v>752</v>
      </c>
      <c r="D83" s="15">
        <v>35000000</v>
      </c>
      <c r="E83" s="7"/>
      <c r="F83" s="7">
        <f t="shared" si="29"/>
        <v>35000000</v>
      </c>
      <c r="G83" s="7"/>
      <c r="H83" s="7"/>
      <c r="I83" s="7"/>
      <c r="J83" s="7"/>
      <c r="K83" s="7"/>
      <c r="L83" s="7"/>
      <c r="M83" s="15"/>
      <c r="N83" s="15">
        <v>3500000</v>
      </c>
      <c r="O83" s="7">
        <f t="shared" si="30"/>
        <v>31500000</v>
      </c>
      <c r="P83" s="7"/>
      <c r="Q83" s="7"/>
      <c r="R83" s="7"/>
      <c r="S83" s="7">
        <f t="shared" si="38"/>
        <v>0</v>
      </c>
      <c r="T83" s="15">
        <f t="shared" si="39"/>
        <v>0</v>
      </c>
      <c r="U83" s="15">
        <f t="shared" si="31"/>
        <v>3500000</v>
      </c>
      <c r="V83" s="15">
        <f t="shared" si="40"/>
        <v>3500000</v>
      </c>
      <c r="W83" s="7"/>
      <c r="X83" s="7"/>
      <c r="Y83" s="14"/>
      <c r="Z83" s="6">
        <v>810000</v>
      </c>
      <c r="AA83" s="13"/>
      <c r="AB83" s="17"/>
      <c r="AC83" s="17"/>
      <c r="AD83" s="17"/>
      <c r="AE83" s="17"/>
      <c r="AF83" s="167"/>
      <c r="AG83" s="167"/>
      <c r="AH83" s="7">
        <f t="shared" si="32"/>
        <v>3500000</v>
      </c>
    </row>
    <row r="84" spans="1:39" ht="15.6" x14ac:dyDescent="0.25">
      <c r="A84" s="6">
        <f t="shared" si="33"/>
        <v>70</v>
      </c>
      <c r="B84" s="84">
        <v>1960</v>
      </c>
      <c r="C84" s="14" t="s">
        <v>753</v>
      </c>
      <c r="D84" s="15">
        <v>7500000</v>
      </c>
      <c r="E84" s="7"/>
      <c r="F84" s="7">
        <f t="shared" si="29"/>
        <v>7500000</v>
      </c>
      <c r="G84" s="7"/>
      <c r="H84" s="7"/>
      <c r="I84" s="7"/>
      <c r="J84" s="7"/>
      <c r="K84" s="7"/>
      <c r="L84" s="7"/>
      <c r="M84" s="15"/>
      <c r="N84" s="15">
        <f>7500000-3750000</f>
        <v>3750000</v>
      </c>
      <c r="O84" s="7">
        <f t="shared" si="30"/>
        <v>3750000</v>
      </c>
      <c r="P84" s="7"/>
      <c r="Q84" s="7"/>
      <c r="R84" s="7"/>
      <c r="S84" s="7"/>
      <c r="T84" s="15"/>
      <c r="U84" s="15">
        <f t="shared" si="31"/>
        <v>3750000</v>
      </c>
      <c r="V84" s="15">
        <f t="shared" si="40"/>
        <v>1310000</v>
      </c>
      <c r="W84" s="7"/>
      <c r="X84" s="7"/>
      <c r="Y84" s="15">
        <v>2440000</v>
      </c>
      <c r="Z84" s="6">
        <v>810000</v>
      </c>
      <c r="AA84" s="13"/>
      <c r="AB84" s="17"/>
      <c r="AC84" s="17"/>
      <c r="AD84" s="17"/>
      <c r="AE84" s="17"/>
      <c r="AF84" s="167"/>
      <c r="AG84" s="167"/>
      <c r="AH84" s="7">
        <f t="shared" si="32"/>
        <v>1310000</v>
      </c>
    </row>
    <row r="85" spans="1:39" ht="15.6" x14ac:dyDescent="0.25">
      <c r="A85" s="6">
        <f t="shared" si="33"/>
        <v>71</v>
      </c>
      <c r="B85" s="84">
        <v>1964</v>
      </c>
      <c r="C85" s="14" t="s">
        <v>497</v>
      </c>
      <c r="D85" s="15">
        <v>10000000</v>
      </c>
      <c r="E85" s="7"/>
      <c r="F85" s="7">
        <f t="shared" si="29"/>
        <v>10000000</v>
      </c>
      <c r="G85" s="7"/>
      <c r="H85" s="7"/>
      <c r="I85" s="7"/>
      <c r="J85" s="7"/>
      <c r="K85" s="7"/>
      <c r="L85" s="7"/>
      <c r="M85" s="15"/>
      <c r="N85" s="15">
        <v>650000</v>
      </c>
      <c r="O85" s="7">
        <f t="shared" si="30"/>
        <v>9350000</v>
      </c>
      <c r="P85" s="7"/>
      <c r="Q85" s="7"/>
      <c r="R85" s="7"/>
      <c r="S85" s="7"/>
      <c r="T85" s="15"/>
      <c r="U85" s="15">
        <f t="shared" si="31"/>
        <v>650000</v>
      </c>
      <c r="V85" s="15">
        <f t="shared" si="40"/>
        <v>650000</v>
      </c>
      <c r="W85" s="7"/>
      <c r="X85" s="7"/>
      <c r="Y85" s="14"/>
      <c r="Z85" s="6">
        <v>810000</v>
      </c>
      <c r="AA85" s="13"/>
      <c r="AB85" s="17"/>
      <c r="AC85" s="17"/>
      <c r="AD85" s="17"/>
      <c r="AE85" s="17"/>
      <c r="AF85" s="167"/>
      <c r="AG85" s="167"/>
      <c r="AH85" s="7">
        <f t="shared" si="32"/>
        <v>650000</v>
      </c>
    </row>
    <row r="86" spans="1:39" ht="15.6" x14ac:dyDescent="0.25">
      <c r="A86" s="6">
        <f t="shared" si="33"/>
        <v>72</v>
      </c>
      <c r="B86" s="84">
        <v>1965</v>
      </c>
      <c r="C86" s="14" t="s">
        <v>754</v>
      </c>
      <c r="D86" s="15">
        <v>35000000</v>
      </c>
      <c r="E86" s="7"/>
      <c r="F86" s="7">
        <f t="shared" si="29"/>
        <v>35000000</v>
      </c>
      <c r="G86" s="7"/>
      <c r="H86" s="7"/>
      <c r="I86" s="7"/>
      <c r="J86" s="7"/>
      <c r="K86" s="7"/>
      <c r="L86" s="7"/>
      <c r="M86" s="15"/>
      <c r="N86" s="15">
        <v>1000000</v>
      </c>
      <c r="O86" s="7">
        <f t="shared" si="30"/>
        <v>34000000</v>
      </c>
      <c r="P86" s="7"/>
      <c r="Q86" s="7"/>
      <c r="R86" s="7"/>
      <c r="S86" s="7"/>
      <c r="T86" s="15"/>
      <c r="U86" s="15">
        <f t="shared" si="31"/>
        <v>1000000</v>
      </c>
      <c r="V86" s="15">
        <f t="shared" si="40"/>
        <v>1000000</v>
      </c>
      <c r="W86" s="7"/>
      <c r="X86" s="7"/>
      <c r="Y86" s="14"/>
      <c r="Z86" s="6">
        <v>810000</v>
      </c>
      <c r="AA86" s="13"/>
      <c r="AB86" s="17"/>
      <c r="AC86" s="17"/>
      <c r="AD86" s="17"/>
      <c r="AE86" s="17"/>
      <c r="AF86" s="167"/>
      <c r="AG86" s="167"/>
      <c r="AH86" s="7">
        <f t="shared" si="32"/>
        <v>1000000</v>
      </c>
    </row>
    <row r="87" spans="1:39" x14ac:dyDescent="0.25">
      <c r="A87" s="6">
        <f t="shared" si="33"/>
        <v>73</v>
      </c>
      <c r="B87" s="14">
        <v>1797</v>
      </c>
      <c r="C87" s="14" t="s">
        <v>279</v>
      </c>
      <c r="D87" s="15">
        <v>3000000</v>
      </c>
      <c r="E87" s="15">
        <v>3000000</v>
      </c>
      <c r="F87" s="7">
        <f t="shared" si="29"/>
        <v>0</v>
      </c>
      <c r="G87" s="15">
        <v>1761262</v>
      </c>
      <c r="H87" s="15">
        <v>0</v>
      </c>
      <c r="I87" s="15"/>
      <c r="J87" s="15"/>
      <c r="K87" s="15">
        <f t="shared" ref="K87:K102" si="41">SUM(I87:J87)</f>
        <v>0</v>
      </c>
      <c r="L87" s="15">
        <f t="shared" ref="L87:L102" si="42">H87+K87</f>
        <v>0</v>
      </c>
      <c r="M87" s="15">
        <f>P87+S87-1511262</f>
        <v>250000</v>
      </c>
      <c r="N87" s="15"/>
      <c r="O87" s="15">
        <f t="shared" si="30"/>
        <v>2750000</v>
      </c>
      <c r="P87" s="15">
        <f t="shared" ref="P87:P102" si="43">G87-L87</f>
        <v>1761262</v>
      </c>
      <c r="Q87" s="15"/>
      <c r="R87" s="15"/>
      <c r="S87" s="15">
        <f t="shared" ref="S87:S102" si="44">SUM(Q87:R87)</f>
        <v>0</v>
      </c>
      <c r="T87" s="15">
        <f t="shared" ref="T87:T102" si="45">P87-M87+S87</f>
        <v>1511262</v>
      </c>
      <c r="U87" s="15">
        <f t="shared" si="31"/>
        <v>-1511262</v>
      </c>
      <c r="V87" s="15">
        <f>U87-Y87-W87-X87</f>
        <v>0</v>
      </c>
      <c r="W87" s="15"/>
      <c r="X87" s="15"/>
      <c r="Y87" s="15">
        <v>-1511262</v>
      </c>
      <c r="Z87" s="14">
        <v>820000</v>
      </c>
      <c r="AA87" s="16"/>
      <c r="AB87" s="16"/>
      <c r="AC87" s="16"/>
      <c r="AD87" s="71"/>
      <c r="AE87" s="71"/>
      <c r="AF87" s="239"/>
      <c r="AG87" s="239"/>
      <c r="AH87" s="7">
        <f t="shared" si="32"/>
        <v>0</v>
      </c>
      <c r="AI87" s="71"/>
      <c r="AJ87" s="71"/>
      <c r="AK87" s="227"/>
      <c r="AL87" s="71"/>
      <c r="AM87" s="71"/>
    </row>
    <row r="88" spans="1:39" ht="15.6" x14ac:dyDescent="0.25">
      <c r="A88" s="6">
        <f t="shared" si="33"/>
        <v>74</v>
      </c>
      <c r="B88" s="61">
        <v>1910</v>
      </c>
      <c r="C88" s="14" t="s">
        <v>333</v>
      </c>
      <c r="D88" s="15">
        <v>650000</v>
      </c>
      <c r="E88" s="7">
        <v>650000</v>
      </c>
      <c r="F88" s="7">
        <f t="shared" si="29"/>
        <v>0</v>
      </c>
      <c r="G88" s="7">
        <v>0</v>
      </c>
      <c r="H88" s="7">
        <v>0</v>
      </c>
      <c r="I88" s="7"/>
      <c r="J88" s="7"/>
      <c r="K88" s="7">
        <f t="shared" si="41"/>
        <v>0</v>
      </c>
      <c r="L88" s="7">
        <f t="shared" si="42"/>
        <v>0</v>
      </c>
      <c r="M88" s="15">
        <f t="shared" ref="M88:M102" si="46">P88+S88</f>
        <v>650000</v>
      </c>
      <c r="N88" s="15"/>
      <c r="O88" s="7">
        <f t="shared" si="30"/>
        <v>0</v>
      </c>
      <c r="P88" s="7">
        <f t="shared" si="43"/>
        <v>0</v>
      </c>
      <c r="Q88" s="7"/>
      <c r="R88" s="197">
        <v>650000</v>
      </c>
      <c r="S88" s="7">
        <f t="shared" si="44"/>
        <v>650000</v>
      </c>
      <c r="T88" s="15">
        <f t="shared" si="45"/>
        <v>0</v>
      </c>
      <c r="U88" s="15">
        <f t="shared" si="31"/>
        <v>0</v>
      </c>
      <c r="V88" s="15">
        <f>U88-W88-X88-Y88</f>
        <v>0</v>
      </c>
      <c r="W88" s="7"/>
      <c r="X88" s="7"/>
      <c r="Y88" s="14"/>
      <c r="Z88" s="6">
        <v>823000</v>
      </c>
      <c r="AA88" s="13"/>
      <c r="AB88" s="17"/>
      <c r="AC88" s="17"/>
      <c r="AD88" s="17"/>
      <c r="AE88" s="17"/>
      <c r="AF88" s="167"/>
      <c r="AG88" s="167"/>
      <c r="AH88" s="7">
        <f t="shared" si="32"/>
        <v>0</v>
      </c>
    </row>
    <row r="89" spans="1:39" x14ac:dyDescent="0.25">
      <c r="A89" s="6">
        <f t="shared" si="33"/>
        <v>75</v>
      </c>
      <c r="B89" s="14">
        <v>1834</v>
      </c>
      <c r="C89" s="14" t="s">
        <v>307</v>
      </c>
      <c r="D89" s="15">
        <v>40000000</v>
      </c>
      <c r="E89" s="15">
        <v>40000000</v>
      </c>
      <c r="F89" s="7">
        <f t="shared" si="29"/>
        <v>0</v>
      </c>
      <c r="G89" s="15">
        <v>100000</v>
      </c>
      <c r="H89" s="15">
        <v>0</v>
      </c>
      <c r="I89" s="15">
        <v>31590</v>
      </c>
      <c r="J89" s="15"/>
      <c r="K89" s="15">
        <f t="shared" si="41"/>
        <v>31590</v>
      </c>
      <c r="L89" s="15">
        <f t="shared" si="42"/>
        <v>31590</v>
      </c>
      <c r="M89" s="15">
        <f t="shared" si="46"/>
        <v>68410</v>
      </c>
      <c r="N89" s="15">
        <f>3000000-1000000</f>
        <v>2000000</v>
      </c>
      <c r="O89" s="15">
        <f t="shared" si="30"/>
        <v>37900000</v>
      </c>
      <c r="P89" s="15">
        <f t="shared" si="43"/>
        <v>68410</v>
      </c>
      <c r="Q89" s="15"/>
      <c r="R89" s="15"/>
      <c r="S89" s="15">
        <f t="shared" si="44"/>
        <v>0</v>
      </c>
      <c r="T89" s="15">
        <f t="shared" si="45"/>
        <v>0</v>
      </c>
      <c r="U89" s="15">
        <f t="shared" si="31"/>
        <v>2000000</v>
      </c>
      <c r="V89" s="15">
        <f>U89-Y89-W89-X89</f>
        <v>2000000</v>
      </c>
      <c r="W89" s="15"/>
      <c r="X89" s="15"/>
      <c r="Y89" s="14"/>
      <c r="Z89" s="14">
        <v>824000</v>
      </c>
      <c r="AA89" s="16"/>
      <c r="AB89" s="16"/>
      <c r="AC89" s="16"/>
      <c r="AD89" s="16"/>
      <c r="AE89" s="16"/>
      <c r="AF89" s="14"/>
      <c r="AG89" s="7"/>
      <c r="AH89" s="232">
        <f t="shared" si="32"/>
        <v>2000000</v>
      </c>
      <c r="AI89" s="16"/>
      <c r="AJ89" s="16"/>
      <c r="AK89" s="16"/>
      <c r="AL89" s="16"/>
      <c r="AM89" s="16"/>
    </row>
    <row r="90" spans="1:39" s="159" customFormat="1" x14ac:dyDescent="0.25">
      <c r="A90" s="6">
        <f t="shared" si="33"/>
        <v>76</v>
      </c>
      <c r="B90" s="14">
        <v>1835</v>
      </c>
      <c r="C90" s="14" t="s">
        <v>308</v>
      </c>
      <c r="D90" s="15">
        <v>30000000</v>
      </c>
      <c r="E90" s="15">
        <v>30000000</v>
      </c>
      <c r="F90" s="7">
        <f t="shared" si="29"/>
        <v>0</v>
      </c>
      <c r="G90" s="15">
        <v>400000</v>
      </c>
      <c r="H90" s="15">
        <v>43143</v>
      </c>
      <c r="I90" s="15">
        <v>59870</v>
      </c>
      <c r="J90" s="15"/>
      <c r="K90" s="15">
        <f t="shared" si="41"/>
        <v>59870</v>
      </c>
      <c r="L90" s="15">
        <f t="shared" si="42"/>
        <v>103013</v>
      </c>
      <c r="M90" s="15">
        <f t="shared" si="46"/>
        <v>296987</v>
      </c>
      <c r="N90" s="15">
        <f>10000000-5000000-1000000-1000000</f>
        <v>3000000</v>
      </c>
      <c r="O90" s="15">
        <f t="shared" si="30"/>
        <v>26600000</v>
      </c>
      <c r="P90" s="15">
        <f t="shared" si="43"/>
        <v>296987</v>
      </c>
      <c r="Q90" s="15"/>
      <c r="R90" s="15"/>
      <c r="S90" s="15">
        <f t="shared" si="44"/>
        <v>0</v>
      </c>
      <c r="T90" s="15">
        <f t="shared" si="45"/>
        <v>0</v>
      </c>
      <c r="U90" s="15">
        <f t="shared" si="31"/>
        <v>3000000</v>
      </c>
      <c r="V90" s="15">
        <f>U90-Y90-W90-X90</f>
        <v>3000000</v>
      </c>
      <c r="W90" s="15"/>
      <c r="X90" s="15"/>
      <c r="Y90" s="14"/>
      <c r="Z90" s="14">
        <v>824000</v>
      </c>
      <c r="AA90" s="16"/>
      <c r="AB90" s="16"/>
      <c r="AC90" s="16"/>
      <c r="AD90" s="16"/>
      <c r="AE90" s="16"/>
      <c r="AF90" s="14"/>
      <c r="AG90" s="7"/>
      <c r="AH90" s="232">
        <f t="shared" si="32"/>
        <v>3000000</v>
      </c>
      <c r="AI90" s="16"/>
      <c r="AJ90" s="16"/>
      <c r="AK90" s="16"/>
      <c r="AL90" s="16"/>
      <c r="AM90" s="16"/>
    </row>
    <row r="91" spans="1:39" s="159" customFormat="1" ht="15.6" x14ac:dyDescent="0.25">
      <c r="A91" s="6">
        <f t="shared" si="33"/>
        <v>77</v>
      </c>
      <c r="B91" s="61">
        <v>1927</v>
      </c>
      <c r="C91" s="14" t="s">
        <v>337</v>
      </c>
      <c r="D91" s="15">
        <v>860000</v>
      </c>
      <c r="E91" s="7">
        <v>860000</v>
      </c>
      <c r="F91" s="7">
        <f t="shared" si="29"/>
        <v>0</v>
      </c>
      <c r="G91" s="7">
        <v>0</v>
      </c>
      <c r="H91" s="7">
        <v>0</v>
      </c>
      <c r="I91" s="7"/>
      <c r="J91" s="7"/>
      <c r="K91" s="7">
        <f t="shared" si="41"/>
        <v>0</v>
      </c>
      <c r="L91" s="7">
        <f t="shared" si="42"/>
        <v>0</v>
      </c>
      <c r="M91" s="15">
        <f t="shared" si="46"/>
        <v>860000</v>
      </c>
      <c r="N91" s="15"/>
      <c r="O91" s="7">
        <f t="shared" si="30"/>
        <v>0</v>
      </c>
      <c r="P91" s="7">
        <f t="shared" si="43"/>
        <v>0</v>
      </c>
      <c r="Q91" s="7"/>
      <c r="R91" s="15">
        <v>860000</v>
      </c>
      <c r="S91" s="7">
        <f t="shared" si="44"/>
        <v>860000</v>
      </c>
      <c r="T91" s="15">
        <f t="shared" si="45"/>
        <v>0</v>
      </c>
      <c r="U91" s="15">
        <f t="shared" si="31"/>
        <v>0</v>
      </c>
      <c r="V91" s="15">
        <f t="shared" ref="V91:V98" si="47">U91-W91-X91-Y91</f>
        <v>0</v>
      </c>
      <c r="W91" s="7"/>
      <c r="X91" s="7"/>
      <c r="Y91" s="14"/>
      <c r="Z91" s="6">
        <v>824000</v>
      </c>
      <c r="AA91" s="13"/>
      <c r="AB91" s="17"/>
      <c r="AC91" s="17"/>
      <c r="AD91" s="17"/>
      <c r="AE91" s="17"/>
      <c r="AF91" s="167"/>
      <c r="AG91" s="167"/>
      <c r="AH91" s="7">
        <f t="shared" si="32"/>
        <v>0</v>
      </c>
      <c r="AI91" s="21"/>
      <c r="AJ91" s="21"/>
      <c r="AK91" s="21"/>
      <c r="AL91" s="21"/>
      <c r="AM91" s="21"/>
    </row>
    <row r="92" spans="1:39" s="159" customFormat="1" x14ac:dyDescent="0.25">
      <c r="A92" s="6">
        <f t="shared" si="33"/>
        <v>78</v>
      </c>
      <c r="B92" s="6">
        <v>1396</v>
      </c>
      <c r="C92" s="14" t="s">
        <v>339</v>
      </c>
      <c r="D92" s="15">
        <f>10500000-4220000</f>
        <v>6280000</v>
      </c>
      <c r="E92" s="7">
        <v>10500000</v>
      </c>
      <c r="F92" s="7">
        <f t="shared" si="29"/>
        <v>-4220000</v>
      </c>
      <c r="G92" s="7">
        <v>4530000</v>
      </c>
      <c r="H92" s="7">
        <v>3110397.41</v>
      </c>
      <c r="I92" s="7">
        <v>269375.59000000003</v>
      </c>
      <c r="J92" s="7"/>
      <c r="K92" s="7">
        <f t="shared" si="41"/>
        <v>269375.59000000003</v>
      </c>
      <c r="L92" s="7">
        <f t="shared" si="42"/>
        <v>3379773</v>
      </c>
      <c r="M92" s="15">
        <f t="shared" si="46"/>
        <v>2900227</v>
      </c>
      <c r="N92" s="15"/>
      <c r="O92" s="7">
        <f t="shared" si="30"/>
        <v>0</v>
      </c>
      <c r="P92" s="7">
        <f t="shared" si="43"/>
        <v>1150227</v>
      </c>
      <c r="Q92" s="152">
        <v>1750000</v>
      </c>
      <c r="R92" s="15"/>
      <c r="S92" s="7">
        <f t="shared" si="44"/>
        <v>1750000</v>
      </c>
      <c r="T92" s="15">
        <f t="shared" si="45"/>
        <v>0</v>
      </c>
      <c r="U92" s="15">
        <f t="shared" si="31"/>
        <v>0</v>
      </c>
      <c r="V92" s="15">
        <f t="shared" si="47"/>
        <v>0</v>
      </c>
      <c r="W92" s="7"/>
      <c r="X92" s="7"/>
      <c r="Y92" s="14"/>
      <c r="Z92" s="6">
        <v>826000</v>
      </c>
      <c r="AA92" s="8"/>
      <c r="AB92" s="9"/>
      <c r="AC92" s="9"/>
      <c r="AD92" s="9"/>
      <c r="AE92" s="9"/>
      <c r="AF92" s="3"/>
      <c r="AG92" s="7"/>
      <c r="AH92" s="7">
        <f t="shared" si="32"/>
        <v>0</v>
      </c>
      <c r="AI92" s="9"/>
      <c r="AJ92" s="9"/>
      <c r="AK92" s="9"/>
      <c r="AL92" s="9"/>
      <c r="AM92" s="9"/>
    </row>
    <row r="93" spans="1:39" s="16" customFormat="1" x14ac:dyDescent="0.25">
      <c r="A93" s="6">
        <f t="shared" si="33"/>
        <v>79</v>
      </c>
      <c r="B93" s="6">
        <v>1403</v>
      </c>
      <c r="C93" s="14" t="s">
        <v>214</v>
      </c>
      <c r="D93" s="15">
        <v>26050000</v>
      </c>
      <c r="E93" s="7">
        <v>26050000</v>
      </c>
      <c r="F93" s="7">
        <f t="shared" si="29"/>
        <v>0</v>
      </c>
      <c r="G93" s="7">
        <v>3050000</v>
      </c>
      <c r="H93" s="7">
        <v>2018022.86</v>
      </c>
      <c r="I93" s="7">
        <v>531477.56999999995</v>
      </c>
      <c r="J93" s="7"/>
      <c r="K93" s="7">
        <f t="shared" si="41"/>
        <v>531477.56999999995</v>
      </c>
      <c r="L93" s="7">
        <f t="shared" si="42"/>
        <v>2549500.4300000002</v>
      </c>
      <c r="M93" s="15">
        <f t="shared" si="46"/>
        <v>11500499.57</v>
      </c>
      <c r="N93" s="15">
        <f>12000000-6000000-1000000</f>
        <v>5000000</v>
      </c>
      <c r="O93" s="7">
        <f t="shared" si="30"/>
        <v>7000000</v>
      </c>
      <c r="P93" s="7">
        <f t="shared" si="43"/>
        <v>500499.56999999983</v>
      </c>
      <c r="Q93" s="152">
        <v>11000000</v>
      </c>
      <c r="R93" s="15"/>
      <c r="S93" s="7">
        <f t="shared" si="44"/>
        <v>11000000</v>
      </c>
      <c r="T93" s="15">
        <f t="shared" si="45"/>
        <v>0</v>
      </c>
      <c r="U93" s="15">
        <f t="shared" si="31"/>
        <v>5000000</v>
      </c>
      <c r="V93" s="15">
        <f t="shared" si="47"/>
        <v>1500000</v>
      </c>
      <c r="W93" s="7"/>
      <c r="X93" s="7"/>
      <c r="Y93" s="15">
        <v>3500000</v>
      </c>
      <c r="Z93" s="6">
        <v>826000</v>
      </c>
      <c r="AA93" s="8"/>
      <c r="AB93" s="8"/>
      <c r="AC93" s="8"/>
      <c r="AD93" s="8"/>
      <c r="AE93" s="8"/>
      <c r="AF93" s="6"/>
      <c r="AG93" s="7"/>
      <c r="AH93" s="232">
        <f t="shared" si="32"/>
        <v>1500000</v>
      </c>
      <c r="AI93" s="8"/>
      <c r="AJ93" s="8"/>
      <c r="AK93" s="8"/>
      <c r="AL93" s="8"/>
      <c r="AM93" s="8"/>
    </row>
    <row r="94" spans="1:39" s="71" customFormat="1" ht="15" customHeight="1" x14ac:dyDescent="0.25">
      <c r="A94" s="6">
        <f t="shared" si="33"/>
        <v>80</v>
      </c>
      <c r="B94" s="61">
        <v>1924</v>
      </c>
      <c r="C94" s="14" t="s">
        <v>336</v>
      </c>
      <c r="D94" s="15">
        <v>1800000</v>
      </c>
      <c r="E94" s="7">
        <v>1800000</v>
      </c>
      <c r="F94" s="7">
        <f t="shared" si="29"/>
        <v>0</v>
      </c>
      <c r="G94" s="7">
        <v>100000</v>
      </c>
      <c r="H94" s="7">
        <v>17895</v>
      </c>
      <c r="I94" s="7">
        <v>47625</v>
      </c>
      <c r="J94" s="7"/>
      <c r="K94" s="7">
        <f t="shared" si="41"/>
        <v>47625</v>
      </c>
      <c r="L94" s="7">
        <f t="shared" si="42"/>
        <v>65520</v>
      </c>
      <c r="M94" s="15">
        <f t="shared" si="46"/>
        <v>1734480</v>
      </c>
      <c r="N94" s="15"/>
      <c r="O94" s="7">
        <f t="shared" si="30"/>
        <v>0</v>
      </c>
      <c r="P94" s="7">
        <f t="shared" si="43"/>
        <v>34480</v>
      </c>
      <c r="Q94" s="7"/>
      <c r="R94" s="152">
        <v>1700000</v>
      </c>
      <c r="S94" s="7">
        <f t="shared" si="44"/>
        <v>1700000</v>
      </c>
      <c r="T94" s="15">
        <f t="shared" si="45"/>
        <v>0</v>
      </c>
      <c r="U94" s="15">
        <f t="shared" si="31"/>
        <v>0</v>
      </c>
      <c r="V94" s="15">
        <f t="shared" si="47"/>
        <v>0</v>
      </c>
      <c r="W94" s="7"/>
      <c r="X94" s="7"/>
      <c r="Y94" s="14"/>
      <c r="Z94" s="6">
        <v>826000</v>
      </c>
      <c r="AA94" s="13"/>
      <c r="AB94" s="17"/>
      <c r="AC94" s="17"/>
      <c r="AD94" s="17"/>
      <c r="AE94" s="17"/>
      <c r="AF94" s="167"/>
      <c r="AG94" s="167"/>
      <c r="AH94" s="7">
        <f t="shared" si="32"/>
        <v>0</v>
      </c>
      <c r="AI94" s="21"/>
      <c r="AJ94" s="21"/>
      <c r="AK94" s="21"/>
      <c r="AL94" s="21"/>
      <c r="AM94" s="21"/>
    </row>
    <row r="95" spans="1:39" s="77" customFormat="1" x14ac:dyDescent="0.25">
      <c r="A95" s="6">
        <f t="shared" si="33"/>
        <v>81</v>
      </c>
      <c r="B95" s="6">
        <v>1555</v>
      </c>
      <c r="C95" s="14" t="s">
        <v>217</v>
      </c>
      <c r="D95" s="15">
        <f>7500000-3250000</f>
        <v>4250000</v>
      </c>
      <c r="E95" s="7">
        <v>7500000</v>
      </c>
      <c r="F95" s="7">
        <f t="shared" si="29"/>
        <v>-3250000</v>
      </c>
      <c r="G95" s="7">
        <v>4250000</v>
      </c>
      <c r="H95" s="7">
        <v>3655272</v>
      </c>
      <c r="I95" s="7">
        <v>561713.98</v>
      </c>
      <c r="J95" s="7"/>
      <c r="K95" s="7">
        <f t="shared" si="41"/>
        <v>561713.98</v>
      </c>
      <c r="L95" s="7">
        <f t="shared" si="42"/>
        <v>4216985.9800000004</v>
      </c>
      <c r="M95" s="15">
        <f t="shared" si="46"/>
        <v>33014.019999999553</v>
      </c>
      <c r="N95" s="15"/>
      <c r="O95" s="7">
        <f t="shared" si="30"/>
        <v>0</v>
      </c>
      <c r="P95" s="7">
        <f t="shared" si="43"/>
        <v>33014.019999999553</v>
      </c>
      <c r="Q95" s="7"/>
      <c r="R95" s="15"/>
      <c r="S95" s="7">
        <f t="shared" si="44"/>
        <v>0</v>
      </c>
      <c r="T95" s="15">
        <f t="shared" si="45"/>
        <v>0</v>
      </c>
      <c r="U95" s="15">
        <f t="shared" si="31"/>
        <v>0</v>
      </c>
      <c r="V95" s="15">
        <f t="shared" si="47"/>
        <v>0</v>
      </c>
      <c r="W95" s="7"/>
      <c r="X95" s="7"/>
      <c r="Y95" s="14"/>
      <c r="Z95" s="6">
        <v>828000</v>
      </c>
      <c r="AA95" s="8"/>
      <c r="AB95" s="9"/>
      <c r="AC95" s="9"/>
      <c r="AD95" s="9"/>
      <c r="AE95" s="9"/>
      <c r="AF95" s="3"/>
      <c r="AG95" s="7"/>
      <c r="AH95" s="7">
        <f t="shared" si="32"/>
        <v>0</v>
      </c>
      <c r="AI95" s="9"/>
      <c r="AJ95" s="9"/>
      <c r="AK95" s="9"/>
      <c r="AL95" s="9"/>
      <c r="AM95" s="9"/>
    </row>
    <row r="96" spans="1:39" s="8" customFormat="1" x14ac:dyDescent="0.25">
      <c r="A96" s="6">
        <f t="shared" si="33"/>
        <v>82</v>
      </c>
      <c r="B96" s="6">
        <v>1541</v>
      </c>
      <c r="C96" s="69" t="s">
        <v>326</v>
      </c>
      <c r="D96" s="15">
        <v>2650000</v>
      </c>
      <c r="E96" s="7">
        <v>2650000</v>
      </c>
      <c r="F96" s="7">
        <f t="shared" si="29"/>
        <v>0</v>
      </c>
      <c r="G96" s="7">
        <v>2650000</v>
      </c>
      <c r="H96" s="7">
        <v>1834859.56</v>
      </c>
      <c r="I96" s="7">
        <v>760455.51</v>
      </c>
      <c r="J96" s="7"/>
      <c r="K96" s="7">
        <f t="shared" si="41"/>
        <v>760455.51</v>
      </c>
      <c r="L96" s="7">
        <f t="shared" si="42"/>
        <v>2595315.0700000003</v>
      </c>
      <c r="M96" s="15">
        <f t="shared" si="46"/>
        <v>54684.929999999702</v>
      </c>
      <c r="N96" s="15"/>
      <c r="O96" s="7">
        <f t="shared" si="30"/>
        <v>0</v>
      </c>
      <c r="P96" s="7">
        <f t="shared" si="43"/>
        <v>54684.929999999702</v>
      </c>
      <c r="Q96" s="7"/>
      <c r="R96" s="15"/>
      <c r="S96" s="7">
        <f t="shared" si="44"/>
        <v>0</v>
      </c>
      <c r="T96" s="15">
        <f t="shared" si="45"/>
        <v>0</v>
      </c>
      <c r="U96" s="15">
        <f t="shared" si="31"/>
        <v>0</v>
      </c>
      <c r="V96" s="15">
        <f t="shared" si="47"/>
        <v>0</v>
      </c>
      <c r="W96" s="7"/>
      <c r="X96" s="7"/>
      <c r="Y96" s="14"/>
      <c r="Z96" s="6">
        <v>829000</v>
      </c>
      <c r="AB96" s="9"/>
      <c r="AC96" s="9"/>
      <c r="AD96" s="9"/>
      <c r="AE96" s="9"/>
      <c r="AF96" s="3"/>
      <c r="AG96" s="3"/>
      <c r="AH96" s="7">
        <f t="shared" si="32"/>
        <v>0</v>
      </c>
      <c r="AI96" s="9"/>
      <c r="AJ96" s="9"/>
      <c r="AK96" s="9"/>
      <c r="AL96" s="9"/>
      <c r="AM96" s="9"/>
    </row>
    <row r="97" spans="1:39" s="8" customFormat="1" x14ac:dyDescent="0.25">
      <c r="A97" s="6">
        <f t="shared" si="33"/>
        <v>83</v>
      </c>
      <c r="B97" s="14">
        <v>1625</v>
      </c>
      <c r="C97" s="69" t="s">
        <v>327</v>
      </c>
      <c r="D97" s="15">
        <v>13300000</v>
      </c>
      <c r="E97" s="15">
        <v>13300000</v>
      </c>
      <c r="F97" s="7">
        <f t="shared" si="29"/>
        <v>0</v>
      </c>
      <c r="G97" s="15">
        <v>5125000</v>
      </c>
      <c r="H97" s="15">
        <v>2157903.38</v>
      </c>
      <c r="I97" s="15">
        <v>920142.65</v>
      </c>
      <c r="J97" s="15">
        <v>1789152.33</v>
      </c>
      <c r="K97" s="15">
        <f t="shared" si="41"/>
        <v>2709294.98</v>
      </c>
      <c r="L97" s="15">
        <f t="shared" si="42"/>
        <v>4867198.3599999994</v>
      </c>
      <c r="M97" s="15">
        <f t="shared" si="46"/>
        <v>257801.6400000006</v>
      </c>
      <c r="N97" s="15"/>
      <c r="O97" s="15">
        <f t="shared" si="30"/>
        <v>8175000</v>
      </c>
      <c r="P97" s="15">
        <f t="shared" si="43"/>
        <v>257801.6400000006</v>
      </c>
      <c r="Q97" s="15"/>
      <c r="R97" s="15"/>
      <c r="S97" s="15">
        <f t="shared" si="44"/>
        <v>0</v>
      </c>
      <c r="T97" s="15">
        <f t="shared" si="45"/>
        <v>0</v>
      </c>
      <c r="U97" s="15">
        <f t="shared" si="31"/>
        <v>0</v>
      </c>
      <c r="V97" s="15">
        <f t="shared" si="47"/>
        <v>0</v>
      </c>
      <c r="W97" s="15"/>
      <c r="X97" s="15"/>
      <c r="Y97" s="14"/>
      <c r="Z97" s="14">
        <v>829000</v>
      </c>
      <c r="AA97" s="16"/>
      <c r="AB97" s="16"/>
      <c r="AC97" s="16"/>
      <c r="AD97" s="16"/>
      <c r="AE97" s="16"/>
      <c r="AF97" s="14"/>
      <c r="AG97" s="14"/>
      <c r="AH97" s="7">
        <f t="shared" si="32"/>
        <v>0</v>
      </c>
      <c r="AI97" s="16"/>
      <c r="AJ97" s="16"/>
      <c r="AK97" s="16"/>
      <c r="AL97" s="16"/>
      <c r="AM97" s="16"/>
    </row>
    <row r="98" spans="1:39" s="8" customFormat="1" ht="15" customHeight="1" x14ac:dyDescent="0.25">
      <c r="A98" s="6">
        <f t="shared" si="33"/>
        <v>84</v>
      </c>
      <c r="B98" s="6">
        <v>1772</v>
      </c>
      <c r="C98" s="69" t="s">
        <v>465</v>
      </c>
      <c r="D98" s="15">
        <v>3210000</v>
      </c>
      <c r="E98" s="7">
        <v>3210000</v>
      </c>
      <c r="F98" s="7">
        <f t="shared" si="29"/>
        <v>0</v>
      </c>
      <c r="G98" s="7">
        <f>400000+100000</f>
        <v>500000</v>
      </c>
      <c r="H98" s="7">
        <v>347127.84</v>
      </c>
      <c r="I98" s="7">
        <v>23843.81</v>
      </c>
      <c r="J98" s="7"/>
      <c r="K98" s="7">
        <f t="shared" si="41"/>
        <v>23843.81</v>
      </c>
      <c r="L98" s="7">
        <f t="shared" si="42"/>
        <v>370971.65</v>
      </c>
      <c r="M98" s="15">
        <f t="shared" si="46"/>
        <v>1429028.35</v>
      </c>
      <c r="N98" s="15">
        <v>1410000</v>
      </c>
      <c r="O98" s="7">
        <f t="shared" si="30"/>
        <v>0</v>
      </c>
      <c r="P98" s="7">
        <f t="shared" si="43"/>
        <v>129028.34999999998</v>
      </c>
      <c r="Q98" s="152">
        <f>1400000-100000</f>
        <v>1300000</v>
      </c>
      <c r="R98" s="15"/>
      <c r="S98" s="7">
        <f t="shared" si="44"/>
        <v>1300000</v>
      </c>
      <c r="T98" s="15">
        <f t="shared" si="45"/>
        <v>0</v>
      </c>
      <c r="U98" s="15">
        <f t="shared" si="31"/>
        <v>1410000</v>
      </c>
      <c r="V98" s="15">
        <f t="shared" si="47"/>
        <v>269414</v>
      </c>
      <c r="W98" s="7"/>
      <c r="X98" s="7"/>
      <c r="Y98" s="15">
        <v>1140586</v>
      </c>
      <c r="Z98" s="6">
        <v>829000</v>
      </c>
      <c r="AF98" s="60"/>
      <c r="AG98" s="7"/>
      <c r="AH98" s="7">
        <f t="shared" si="32"/>
        <v>269414</v>
      </c>
      <c r="AI98" s="17"/>
      <c r="AJ98" s="17"/>
      <c r="AK98" s="17"/>
      <c r="AL98" s="17"/>
      <c r="AM98" s="17"/>
    </row>
    <row r="99" spans="1:39" s="8" customFormat="1" x14ac:dyDescent="0.25">
      <c r="A99" s="6">
        <f t="shared" si="33"/>
        <v>85</v>
      </c>
      <c r="B99" s="14">
        <v>1798</v>
      </c>
      <c r="C99" s="69" t="s">
        <v>280</v>
      </c>
      <c r="D99" s="15">
        <v>1600000</v>
      </c>
      <c r="E99" s="15">
        <v>1600000</v>
      </c>
      <c r="F99" s="7">
        <f t="shared" si="29"/>
        <v>0</v>
      </c>
      <c r="G99" s="15">
        <v>700000</v>
      </c>
      <c r="H99" s="15">
        <v>3557</v>
      </c>
      <c r="I99" s="15">
        <v>95777.37</v>
      </c>
      <c r="J99" s="15">
        <v>48196.1</v>
      </c>
      <c r="K99" s="15">
        <f t="shared" si="41"/>
        <v>143973.47</v>
      </c>
      <c r="L99" s="15">
        <f t="shared" si="42"/>
        <v>147530.47</v>
      </c>
      <c r="M99" s="15">
        <f t="shared" si="46"/>
        <v>552469.53</v>
      </c>
      <c r="N99" s="15">
        <v>900000</v>
      </c>
      <c r="O99" s="15">
        <f t="shared" si="30"/>
        <v>0</v>
      </c>
      <c r="P99" s="15">
        <f t="shared" si="43"/>
        <v>552469.53</v>
      </c>
      <c r="Q99" s="15"/>
      <c r="R99" s="15"/>
      <c r="S99" s="15">
        <f t="shared" si="44"/>
        <v>0</v>
      </c>
      <c r="T99" s="15">
        <f t="shared" si="45"/>
        <v>0</v>
      </c>
      <c r="U99" s="15">
        <f t="shared" si="31"/>
        <v>900000</v>
      </c>
      <c r="V99" s="15">
        <f>U99-Y99-W99-X99</f>
        <v>900000</v>
      </c>
      <c r="W99" s="15"/>
      <c r="X99" s="15"/>
      <c r="Y99" s="14"/>
      <c r="Z99" s="14">
        <v>829000</v>
      </c>
      <c r="AA99" s="16"/>
      <c r="AB99" s="16"/>
      <c r="AC99" s="16"/>
      <c r="AD99" s="71"/>
      <c r="AE99" s="71"/>
      <c r="AF99" s="239"/>
      <c r="AG99" s="7"/>
      <c r="AH99" s="7">
        <f t="shared" si="32"/>
        <v>900000</v>
      </c>
      <c r="AI99" s="71"/>
      <c r="AJ99" s="71"/>
      <c r="AK99" s="71"/>
      <c r="AL99" s="71"/>
      <c r="AM99" s="71"/>
    </row>
    <row r="100" spans="1:39" ht="15.6" x14ac:dyDescent="0.25">
      <c r="A100" s="6">
        <f t="shared" si="33"/>
        <v>86</v>
      </c>
      <c r="B100" s="377">
        <v>1833</v>
      </c>
      <c r="C100" s="14" t="s">
        <v>834</v>
      </c>
      <c r="D100" s="15">
        <v>20000000</v>
      </c>
      <c r="E100" s="7">
        <v>20000000</v>
      </c>
      <c r="F100" s="7">
        <f t="shared" si="29"/>
        <v>0</v>
      </c>
      <c r="G100" s="7">
        <v>0</v>
      </c>
      <c r="H100" s="7">
        <v>0</v>
      </c>
      <c r="I100" s="7"/>
      <c r="J100" s="7"/>
      <c r="K100" s="7">
        <f t="shared" si="41"/>
        <v>0</v>
      </c>
      <c r="L100" s="7">
        <f t="shared" si="42"/>
        <v>0</v>
      </c>
      <c r="M100" s="15">
        <f t="shared" si="46"/>
        <v>0</v>
      </c>
      <c r="N100" s="15">
        <f>2000000-1000000+19000000</f>
        <v>20000000</v>
      </c>
      <c r="O100" s="7">
        <f t="shared" si="30"/>
        <v>0</v>
      </c>
      <c r="P100" s="7">
        <f t="shared" si="43"/>
        <v>0</v>
      </c>
      <c r="Q100" s="7"/>
      <c r="R100" s="15"/>
      <c r="S100" s="7">
        <f t="shared" si="44"/>
        <v>0</v>
      </c>
      <c r="T100" s="15">
        <f t="shared" si="45"/>
        <v>0</v>
      </c>
      <c r="U100" s="15">
        <f t="shared" si="31"/>
        <v>20000000</v>
      </c>
      <c r="V100" s="15">
        <f t="shared" ref="V100:V106" si="48">U100-W100-X100-Y100</f>
        <v>1000000</v>
      </c>
      <c r="W100" s="7"/>
      <c r="X100" s="7"/>
      <c r="Y100" s="15">
        <v>19000000</v>
      </c>
      <c r="Z100" s="6">
        <v>829000</v>
      </c>
      <c r="AA100" s="13"/>
      <c r="AB100" s="17"/>
      <c r="AC100" s="17"/>
      <c r="AD100" s="17"/>
      <c r="AE100" s="17"/>
      <c r="AF100" s="167"/>
      <c r="AG100" s="7"/>
      <c r="AH100" s="232">
        <f t="shared" si="32"/>
        <v>1000000</v>
      </c>
    </row>
    <row r="101" spans="1:39" x14ac:dyDescent="0.25">
      <c r="A101" s="6">
        <f t="shared" si="33"/>
        <v>87</v>
      </c>
      <c r="B101" s="6">
        <v>1375</v>
      </c>
      <c r="C101" s="14" t="s">
        <v>212</v>
      </c>
      <c r="D101" s="15">
        <f>26950000+12000000+850000</f>
        <v>39800000</v>
      </c>
      <c r="E101" s="7">
        <f>26950000+12000000</f>
        <v>38950000</v>
      </c>
      <c r="F101" s="7">
        <f t="shared" si="29"/>
        <v>850000</v>
      </c>
      <c r="G101" s="7">
        <v>26950000</v>
      </c>
      <c r="H101" s="7">
        <v>24611754.710000001</v>
      </c>
      <c r="I101" s="7">
        <v>1166997.3700000001</v>
      </c>
      <c r="J101" s="7"/>
      <c r="K101" s="7">
        <f t="shared" si="41"/>
        <v>1166997.3700000001</v>
      </c>
      <c r="L101" s="7">
        <f t="shared" si="42"/>
        <v>25778752.080000002</v>
      </c>
      <c r="M101" s="15">
        <f t="shared" si="46"/>
        <v>3171247.9199999981</v>
      </c>
      <c r="N101" s="15">
        <f>10000000+850000-5000000-4500000-800000</f>
        <v>550000</v>
      </c>
      <c r="O101" s="7">
        <f t="shared" si="30"/>
        <v>10300000</v>
      </c>
      <c r="P101" s="7">
        <f t="shared" si="43"/>
        <v>1171247.9199999981</v>
      </c>
      <c r="Q101" s="7"/>
      <c r="R101" s="197">
        <v>2000000</v>
      </c>
      <c r="S101" s="7">
        <f t="shared" si="44"/>
        <v>2000000</v>
      </c>
      <c r="T101" s="15">
        <f t="shared" si="45"/>
        <v>0</v>
      </c>
      <c r="U101" s="15">
        <f t="shared" si="31"/>
        <v>550000</v>
      </c>
      <c r="V101" s="15">
        <f t="shared" si="48"/>
        <v>550000</v>
      </c>
      <c r="W101" s="7"/>
      <c r="X101" s="7"/>
      <c r="Y101" s="14"/>
      <c r="Z101" s="6">
        <v>829000</v>
      </c>
      <c r="AA101" s="8"/>
      <c r="AB101" s="8"/>
      <c r="AC101" s="8"/>
      <c r="AD101" s="8"/>
      <c r="AE101" s="8"/>
      <c r="AF101" s="6"/>
      <c r="AG101" s="7"/>
      <c r="AH101" s="232">
        <f t="shared" si="32"/>
        <v>550000</v>
      </c>
      <c r="AI101" s="8"/>
      <c r="AJ101" s="8"/>
      <c r="AK101" s="8"/>
      <c r="AL101" s="8"/>
      <c r="AM101" s="8"/>
    </row>
    <row r="102" spans="1:39" s="16" customFormat="1" ht="27.6" x14ac:dyDescent="0.25">
      <c r="A102" s="6">
        <f t="shared" si="33"/>
        <v>88</v>
      </c>
      <c r="B102" s="14">
        <v>1739</v>
      </c>
      <c r="C102" s="69" t="s">
        <v>269</v>
      </c>
      <c r="D102" s="15">
        <v>6550000</v>
      </c>
      <c r="E102" s="15">
        <v>6550000</v>
      </c>
      <c r="F102" s="7">
        <f t="shared" si="29"/>
        <v>0</v>
      </c>
      <c r="G102" s="15">
        <v>6550000</v>
      </c>
      <c r="H102" s="15">
        <v>5352495</v>
      </c>
      <c r="I102" s="15">
        <v>601062.25</v>
      </c>
      <c r="J102" s="15"/>
      <c r="K102" s="15">
        <f t="shared" si="41"/>
        <v>601062.25</v>
      </c>
      <c r="L102" s="15">
        <f t="shared" si="42"/>
        <v>5953557.25</v>
      </c>
      <c r="M102" s="15">
        <f t="shared" si="46"/>
        <v>596442.75</v>
      </c>
      <c r="N102" s="15"/>
      <c r="O102" s="15">
        <f t="shared" si="30"/>
        <v>0</v>
      </c>
      <c r="P102" s="15">
        <f t="shared" si="43"/>
        <v>596442.75</v>
      </c>
      <c r="Q102" s="15"/>
      <c r="R102" s="15"/>
      <c r="S102" s="15">
        <f t="shared" si="44"/>
        <v>0</v>
      </c>
      <c r="T102" s="15">
        <f t="shared" si="45"/>
        <v>0</v>
      </c>
      <c r="U102" s="15">
        <f t="shared" si="31"/>
        <v>0</v>
      </c>
      <c r="V102" s="15">
        <f t="shared" si="48"/>
        <v>0</v>
      </c>
      <c r="W102" s="15"/>
      <c r="X102" s="15"/>
      <c r="Y102" s="14"/>
      <c r="Z102" s="14">
        <v>829000</v>
      </c>
      <c r="AF102" s="14"/>
      <c r="AG102" s="14"/>
      <c r="AH102" s="7">
        <f t="shared" si="32"/>
        <v>0</v>
      </c>
    </row>
    <row r="103" spans="1:39" ht="15.6" x14ac:dyDescent="0.25">
      <c r="A103" s="6">
        <f t="shared" si="33"/>
        <v>89</v>
      </c>
      <c r="B103" s="84">
        <v>1958</v>
      </c>
      <c r="C103" s="14" t="s">
        <v>537</v>
      </c>
      <c r="D103" s="15">
        <v>850000</v>
      </c>
      <c r="E103" s="7"/>
      <c r="F103" s="7">
        <f t="shared" si="29"/>
        <v>850000</v>
      </c>
      <c r="G103" s="7"/>
      <c r="H103" s="7"/>
      <c r="I103" s="7"/>
      <c r="J103" s="7"/>
      <c r="K103" s="7"/>
      <c r="L103" s="7"/>
      <c r="M103" s="15"/>
      <c r="N103" s="15">
        <v>850000</v>
      </c>
      <c r="O103" s="88">
        <f t="shared" si="30"/>
        <v>0</v>
      </c>
      <c r="P103" s="7"/>
      <c r="Q103" s="7"/>
      <c r="R103" s="7"/>
      <c r="S103" s="7"/>
      <c r="T103" s="15"/>
      <c r="U103" s="15">
        <f t="shared" si="31"/>
        <v>850000</v>
      </c>
      <c r="V103" s="15">
        <f t="shared" si="48"/>
        <v>850000</v>
      </c>
      <c r="W103" s="7"/>
      <c r="X103" s="7"/>
      <c r="Y103" s="14"/>
      <c r="Z103" s="6">
        <v>829000</v>
      </c>
      <c r="AA103" s="13"/>
      <c r="AB103" s="17"/>
      <c r="AC103" s="17"/>
      <c r="AD103" s="17"/>
      <c r="AE103" s="17"/>
      <c r="AF103" s="167"/>
      <c r="AG103" s="7"/>
      <c r="AH103" s="7">
        <f t="shared" si="32"/>
        <v>850000</v>
      </c>
    </row>
    <row r="104" spans="1:39" ht="15.6" x14ac:dyDescent="0.25">
      <c r="A104" s="6">
        <f t="shared" si="33"/>
        <v>90</v>
      </c>
      <c r="B104" s="61">
        <v>1896</v>
      </c>
      <c r="C104" s="14" t="s">
        <v>361</v>
      </c>
      <c r="D104" s="15">
        <v>18560000</v>
      </c>
      <c r="E104" s="7">
        <v>18560000</v>
      </c>
      <c r="F104" s="7">
        <f t="shared" si="29"/>
        <v>0</v>
      </c>
      <c r="G104" s="7">
        <v>0</v>
      </c>
      <c r="H104" s="7">
        <v>0</v>
      </c>
      <c r="I104" s="7"/>
      <c r="J104" s="7"/>
      <c r="K104" s="7">
        <f>SUM(I104:J104)</f>
        <v>0</v>
      </c>
      <c r="L104" s="7">
        <f>H104+K104</f>
        <v>0</v>
      </c>
      <c r="M104" s="15">
        <f>P104+S104</f>
        <v>0</v>
      </c>
      <c r="N104" s="15">
        <f>4000000-2000000-1000000</f>
        <v>1000000</v>
      </c>
      <c r="O104" s="7">
        <f t="shared" si="30"/>
        <v>17560000</v>
      </c>
      <c r="P104" s="7">
        <f>G104-L104</f>
        <v>0</v>
      </c>
      <c r="Q104" s="7"/>
      <c r="R104" s="15"/>
      <c r="S104" s="7">
        <f>SUM(Q104:R104)</f>
        <v>0</v>
      </c>
      <c r="T104" s="15">
        <f>P104-M104+S104</f>
        <v>0</v>
      </c>
      <c r="U104" s="15">
        <f t="shared" si="31"/>
        <v>1000000</v>
      </c>
      <c r="V104" s="15">
        <f t="shared" si="48"/>
        <v>1000000</v>
      </c>
      <c r="W104" s="7"/>
      <c r="X104" s="7"/>
      <c r="Y104" s="14"/>
      <c r="Z104" s="6">
        <v>829000</v>
      </c>
      <c r="AA104" s="13"/>
      <c r="AB104" s="17"/>
      <c r="AC104" s="17"/>
      <c r="AD104" s="17"/>
      <c r="AE104" s="17"/>
      <c r="AF104" s="167"/>
      <c r="AG104" s="7"/>
      <c r="AH104" s="7">
        <f t="shared" si="32"/>
        <v>1000000</v>
      </c>
    </row>
    <row r="105" spans="1:39" ht="15.6" x14ac:dyDescent="0.25">
      <c r="A105" s="6">
        <f t="shared" si="33"/>
        <v>91</v>
      </c>
      <c r="B105" s="56">
        <v>1921</v>
      </c>
      <c r="C105" s="14" t="s">
        <v>335</v>
      </c>
      <c r="D105" s="15">
        <v>4500000</v>
      </c>
      <c r="E105" s="7">
        <v>4500000</v>
      </c>
      <c r="F105" s="7">
        <f t="shared" si="29"/>
        <v>0</v>
      </c>
      <c r="G105" s="7">
        <f>500000+500000</f>
        <v>1000000</v>
      </c>
      <c r="H105" s="7">
        <v>7246</v>
      </c>
      <c r="I105" s="7"/>
      <c r="J105" s="7"/>
      <c r="K105" s="7">
        <f>SUM(I105:J105)</f>
        <v>0</v>
      </c>
      <c r="L105" s="7">
        <f>H105+K105</f>
        <v>7246</v>
      </c>
      <c r="M105" s="15">
        <f>P105+S105</f>
        <v>4492754</v>
      </c>
      <c r="N105" s="15"/>
      <c r="O105" s="7">
        <f t="shared" si="30"/>
        <v>0</v>
      </c>
      <c r="P105" s="7">
        <f>G105-L105</f>
        <v>992754</v>
      </c>
      <c r="Q105" s="7"/>
      <c r="R105" s="152">
        <f>4000000-500000</f>
        <v>3500000</v>
      </c>
      <c r="S105" s="7">
        <f>SUM(Q105:R105)</f>
        <v>3500000</v>
      </c>
      <c r="T105" s="15">
        <f>P105-M105+S105</f>
        <v>0</v>
      </c>
      <c r="U105" s="15">
        <f t="shared" si="31"/>
        <v>0</v>
      </c>
      <c r="V105" s="15">
        <f t="shared" si="48"/>
        <v>0</v>
      </c>
      <c r="W105" s="7"/>
      <c r="X105" s="7"/>
      <c r="Y105" s="14"/>
      <c r="Z105" s="6">
        <v>829000</v>
      </c>
      <c r="AA105" s="13"/>
      <c r="AB105" s="17"/>
      <c r="AC105" s="17"/>
      <c r="AD105" s="17"/>
      <c r="AE105" s="17"/>
      <c r="AF105" s="167"/>
      <c r="AG105" s="167"/>
      <c r="AH105" s="7">
        <f t="shared" si="32"/>
        <v>0</v>
      </c>
    </row>
    <row r="106" spans="1:39" ht="15.6" x14ac:dyDescent="0.25">
      <c r="A106" s="6">
        <f t="shared" si="33"/>
        <v>92</v>
      </c>
      <c r="B106" s="56">
        <v>1929</v>
      </c>
      <c r="C106" s="69" t="s">
        <v>338</v>
      </c>
      <c r="D106" s="15">
        <v>525000</v>
      </c>
      <c r="E106" s="7">
        <v>1050000</v>
      </c>
      <c r="F106" s="7">
        <f t="shared" si="29"/>
        <v>-525000</v>
      </c>
      <c r="G106" s="7">
        <v>525000</v>
      </c>
      <c r="H106" s="7">
        <v>0</v>
      </c>
      <c r="I106" s="7"/>
      <c r="J106" s="7"/>
      <c r="K106" s="7">
        <f>SUM(I106:J106)</f>
        <v>0</v>
      </c>
      <c r="L106" s="7">
        <f>H106+K106</f>
        <v>0</v>
      </c>
      <c r="M106" s="15">
        <f>P106+S106</f>
        <v>525000</v>
      </c>
      <c r="N106" s="15"/>
      <c r="O106" s="7">
        <f t="shared" si="30"/>
        <v>0</v>
      </c>
      <c r="P106" s="7">
        <f>G106-L106</f>
        <v>525000</v>
      </c>
      <c r="Q106" s="7"/>
      <c r="R106" s="7"/>
      <c r="S106" s="7">
        <f>SUM(Q106:R106)</f>
        <v>0</v>
      </c>
      <c r="T106" s="15">
        <f>P106-M106+S106</f>
        <v>0</v>
      </c>
      <c r="U106" s="15">
        <f t="shared" si="31"/>
        <v>0</v>
      </c>
      <c r="V106" s="15">
        <f t="shared" si="48"/>
        <v>0</v>
      </c>
      <c r="W106" s="7"/>
      <c r="X106" s="7"/>
      <c r="Y106" s="14"/>
      <c r="Z106" s="6">
        <v>840000</v>
      </c>
      <c r="AA106" s="13"/>
      <c r="AB106" s="17"/>
      <c r="AC106" s="17"/>
      <c r="AD106" s="17"/>
      <c r="AE106" s="17"/>
      <c r="AF106" s="167"/>
      <c r="AG106" s="167"/>
      <c r="AH106" s="7">
        <f t="shared" si="32"/>
        <v>0</v>
      </c>
    </row>
    <row r="107" spans="1:39" s="390" customFormat="1" ht="15.6" x14ac:dyDescent="0.3">
      <c r="A107" s="11"/>
      <c r="B107" s="387"/>
      <c r="C107" s="394" t="s">
        <v>757</v>
      </c>
      <c r="D107" s="217">
        <f>SUM(D68:D106)</f>
        <v>736775000</v>
      </c>
      <c r="E107" s="217">
        <f t="shared" ref="E107:Y107" si="49">SUM(E68:E106)</f>
        <v>421970000</v>
      </c>
      <c r="F107" s="217">
        <f t="shared" si="49"/>
        <v>314805000</v>
      </c>
      <c r="G107" s="217">
        <f t="shared" si="49"/>
        <v>71875776</v>
      </c>
      <c r="H107" s="217">
        <f t="shared" si="49"/>
        <v>46019644.760000005</v>
      </c>
      <c r="I107" s="217">
        <f t="shared" si="49"/>
        <v>7143074.2599999998</v>
      </c>
      <c r="J107" s="217">
        <f t="shared" si="49"/>
        <v>1837348.4300000002</v>
      </c>
      <c r="K107" s="217">
        <f t="shared" si="49"/>
        <v>8980422.6899999976</v>
      </c>
      <c r="L107" s="217">
        <f t="shared" si="49"/>
        <v>55000067.450000003</v>
      </c>
      <c r="M107" s="217">
        <f t="shared" si="49"/>
        <v>57765566.549999997</v>
      </c>
      <c r="N107" s="217">
        <f t="shared" si="49"/>
        <v>97033880</v>
      </c>
      <c r="O107" s="217">
        <f t="shared" si="49"/>
        <v>526975486</v>
      </c>
      <c r="P107" s="217">
        <f t="shared" si="49"/>
        <v>16875708.549999997</v>
      </c>
      <c r="Q107" s="217">
        <f t="shared" si="49"/>
        <v>16551120</v>
      </c>
      <c r="R107" s="217">
        <f t="shared" si="49"/>
        <v>25850000</v>
      </c>
      <c r="S107" s="217">
        <f t="shared" si="49"/>
        <v>42401120</v>
      </c>
      <c r="T107" s="217">
        <f t="shared" si="49"/>
        <v>1511262</v>
      </c>
      <c r="U107" s="217">
        <f t="shared" si="49"/>
        <v>95522618</v>
      </c>
      <c r="V107" s="217">
        <f t="shared" si="49"/>
        <v>43979882.299999997</v>
      </c>
      <c r="W107" s="217">
        <f t="shared" si="49"/>
        <v>0</v>
      </c>
      <c r="X107" s="217">
        <f t="shared" si="49"/>
        <v>0</v>
      </c>
      <c r="Y107" s="217">
        <f t="shared" si="49"/>
        <v>51542735.700000003</v>
      </c>
      <c r="Z107" s="11"/>
      <c r="AA107" s="13"/>
      <c r="AB107" s="388"/>
      <c r="AC107" s="388"/>
      <c r="AD107" s="388"/>
      <c r="AE107" s="388"/>
      <c r="AF107" s="389"/>
      <c r="AG107" s="389"/>
      <c r="AH107" s="12"/>
    </row>
    <row r="108" spans="1:39" ht="15.6" x14ac:dyDescent="0.25">
      <c r="A108" s="6"/>
      <c r="B108" s="61"/>
      <c r="C108" s="69"/>
      <c r="D108" s="15"/>
      <c r="E108" s="7"/>
      <c r="F108" s="7"/>
      <c r="G108" s="7"/>
      <c r="H108" s="7"/>
      <c r="I108" s="7"/>
      <c r="J108" s="7"/>
      <c r="K108" s="7"/>
      <c r="L108" s="7"/>
      <c r="M108" s="15"/>
      <c r="N108" s="15"/>
      <c r="O108" s="7"/>
      <c r="P108" s="7"/>
      <c r="Q108" s="7"/>
      <c r="R108" s="7"/>
      <c r="S108" s="7"/>
      <c r="T108" s="15"/>
      <c r="U108" s="15"/>
      <c r="V108" s="15"/>
      <c r="W108" s="7"/>
      <c r="X108" s="7"/>
      <c r="Y108" s="14"/>
      <c r="Z108" s="6"/>
      <c r="AA108" s="13"/>
      <c r="AB108" s="17"/>
      <c r="AC108" s="17"/>
      <c r="AD108" s="17"/>
      <c r="AE108" s="17"/>
      <c r="AF108" s="167"/>
      <c r="AG108" s="167"/>
      <c r="AH108" s="7"/>
    </row>
    <row r="109" spans="1:39" ht="15.6" x14ac:dyDescent="0.25">
      <c r="A109" s="6"/>
      <c r="B109" s="61"/>
      <c r="C109" s="69"/>
      <c r="D109" s="15"/>
      <c r="E109" s="7"/>
      <c r="F109" s="7"/>
      <c r="G109" s="7"/>
      <c r="H109" s="7"/>
      <c r="I109" s="7"/>
      <c r="J109" s="7"/>
      <c r="K109" s="7"/>
      <c r="L109" s="7"/>
      <c r="M109" s="15"/>
      <c r="N109" s="15"/>
      <c r="O109" s="7"/>
      <c r="P109" s="7"/>
      <c r="Q109" s="7"/>
      <c r="R109" s="7"/>
      <c r="S109" s="7"/>
      <c r="T109" s="15"/>
      <c r="U109" s="15"/>
      <c r="V109" s="15"/>
      <c r="W109" s="7"/>
      <c r="X109" s="7"/>
      <c r="Y109" s="14"/>
      <c r="Z109" s="6"/>
      <c r="AA109" s="13"/>
      <c r="AB109" s="17"/>
      <c r="AC109" s="17"/>
      <c r="AD109" s="17"/>
      <c r="AE109" s="17"/>
      <c r="AF109" s="167"/>
      <c r="AG109" s="167"/>
      <c r="AH109" s="7"/>
    </row>
    <row r="110" spans="1:39" x14ac:dyDescent="0.25">
      <c r="A110" s="6">
        <f>A106+1</f>
        <v>93</v>
      </c>
      <c r="B110" s="6">
        <v>1448</v>
      </c>
      <c r="C110" s="69" t="s">
        <v>216</v>
      </c>
      <c r="D110" s="15">
        <v>6002877</v>
      </c>
      <c r="E110" s="7">
        <v>6002877</v>
      </c>
      <c r="F110" s="7">
        <f>D110-E110</f>
        <v>0</v>
      </c>
      <c r="G110" s="7">
        <v>6002877</v>
      </c>
      <c r="H110" s="7">
        <v>5965206</v>
      </c>
      <c r="I110" s="7">
        <v>36951.629999999997</v>
      </c>
      <c r="J110" s="7"/>
      <c r="K110" s="7">
        <f>SUM(I110:J110)</f>
        <v>36951.629999999997</v>
      </c>
      <c r="L110" s="7">
        <f>H110+K110</f>
        <v>6002157.6299999999</v>
      </c>
      <c r="M110" s="15">
        <f>P110+S110</f>
        <v>719.37000000011176</v>
      </c>
      <c r="N110" s="15"/>
      <c r="O110" s="7">
        <f>D110-L110-M110-N110</f>
        <v>0</v>
      </c>
      <c r="P110" s="7">
        <f>G110-L110</f>
        <v>719.37000000011176</v>
      </c>
      <c r="Q110" s="7"/>
      <c r="R110" s="15"/>
      <c r="S110" s="7">
        <f>SUM(Q110:R110)</f>
        <v>0</v>
      </c>
      <c r="T110" s="15">
        <f>P110-M110+S110</f>
        <v>0</v>
      </c>
      <c r="U110" s="15">
        <f>N110-T110</f>
        <v>0</v>
      </c>
      <c r="V110" s="15">
        <f>U110-W110-X110-Y110</f>
        <v>0</v>
      </c>
      <c r="W110" s="7"/>
      <c r="X110" s="7"/>
      <c r="Y110" s="14"/>
      <c r="Z110" s="6">
        <v>850000</v>
      </c>
      <c r="AA110" s="8"/>
      <c r="AB110" s="8"/>
      <c r="AC110" s="8"/>
      <c r="AD110" s="8"/>
      <c r="AE110" s="8"/>
      <c r="AF110" s="6"/>
      <c r="AG110" s="7"/>
      <c r="AH110" s="7">
        <f>V110-AG110</f>
        <v>0</v>
      </c>
      <c r="AI110" s="8"/>
      <c r="AJ110" s="8"/>
      <c r="AK110" s="8"/>
      <c r="AL110" s="8"/>
      <c r="AM110" s="8"/>
    </row>
    <row r="111" spans="1:39" x14ac:dyDescent="0.25">
      <c r="A111" s="6">
        <f>A110+1</f>
        <v>94</v>
      </c>
      <c r="B111" s="6">
        <v>1605</v>
      </c>
      <c r="C111" s="14" t="s">
        <v>88</v>
      </c>
      <c r="D111" s="15">
        <v>2200000</v>
      </c>
      <c r="E111" s="7">
        <v>2200000</v>
      </c>
      <c r="F111" s="7">
        <f>D111-E111</f>
        <v>0</v>
      </c>
      <c r="G111" s="7">
        <v>300000</v>
      </c>
      <c r="H111" s="7">
        <v>4862</v>
      </c>
      <c r="I111" s="7">
        <v>295009.42</v>
      </c>
      <c r="J111" s="7"/>
      <c r="K111" s="7">
        <f>SUM(I111:J111)</f>
        <v>295009.42</v>
      </c>
      <c r="L111" s="7">
        <f>H111+K111</f>
        <v>299871.42</v>
      </c>
      <c r="M111" s="15">
        <f>P111+S111</f>
        <v>128.5800000000163</v>
      </c>
      <c r="N111" s="15">
        <f>1900000-1000000</f>
        <v>900000</v>
      </c>
      <c r="O111" s="7">
        <f>D111-L111-M111-N111</f>
        <v>1000000</v>
      </c>
      <c r="P111" s="7">
        <f>G111-L111</f>
        <v>128.5800000000163</v>
      </c>
      <c r="Q111" s="7"/>
      <c r="R111" s="15"/>
      <c r="S111" s="7">
        <f>SUM(Q111:R111)</f>
        <v>0</v>
      </c>
      <c r="T111" s="15">
        <f>P111-M111+S111</f>
        <v>0</v>
      </c>
      <c r="U111" s="15">
        <f>N111-T111</f>
        <v>900000</v>
      </c>
      <c r="V111" s="15">
        <f>U111-W111-X111-Y111</f>
        <v>900000</v>
      </c>
      <c r="W111" s="7"/>
      <c r="X111" s="7"/>
      <c r="Y111" s="14"/>
      <c r="Z111" s="6">
        <v>850000</v>
      </c>
      <c r="AA111" s="8"/>
      <c r="AB111" s="8"/>
      <c r="AC111" s="8"/>
      <c r="AD111" s="8"/>
      <c r="AE111" s="8"/>
      <c r="AF111" s="6"/>
      <c r="AG111" s="7"/>
      <c r="AH111" s="232">
        <f>V111-AG111</f>
        <v>900000</v>
      </c>
      <c r="AI111" s="8"/>
      <c r="AJ111" s="8"/>
      <c r="AK111" s="8"/>
      <c r="AL111" s="8"/>
      <c r="AM111" s="8"/>
    </row>
    <row r="112" spans="1:39" s="77" customFormat="1" ht="15.6" x14ac:dyDescent="0.25">
      <c r="A112" s="6">
        <f>A111+1</f>
        <v>95</v>
      </c>
      <c r="B112" s="61">
        <v>1837</v>
      </c>
      <c r="C112" s="14" t="s">
        <v>329</v>
      </c>
      <c r="D112" s="15">
        <v>3000000</v>
      </c>
      <c r="E112" s="7">
        <v>3000000</v>
      </c>
      <c r="F112" s="7">
        <f>D112-E112</f>
        <v>0</v>
      </c>
      <c r="G112" s="7">
        <v>0</v>
      </c>
      <c r="H112" s="7">
        <v>0</v>
      </c>
      <c r="I112" s="7"/>
      <c r="J112" s="7"/>
      <c r="K112" s="7">
        <f>SUM(I112:J112)</f>
        <v>0</v>
      </c>
      <c r="L112" s="7">
        <f>H112+K112</f>
        <v>0</v>
      </c>
      <c r="M112" s="15">
        <f>P112+S112</f>
        <v>0</v>
      </c>
      <c r="N112" s="15">
        <f>3000000-1000000</f>
        <v>2000000</v>
      </c>
      <c r="O112" s="7">
        <f>D112-L112-M112-N112</f>
        <v>1000000</v>
      </c>
      <c r="P112" s="7">
        <f>G112-L112</f>
        <v>0</v>
      </c>
      <c r="Q112" s="7"/>
      <c r="R112" s="15"/>
      <c r="S112" s="7">
        <f>SUM(Q112:R112)</f>
        <v>0</v>
      </c>
      <c r="T112" s="15">
        <f>P112-M112+S112</f>
        <v>0</v>
      </c>
      <c r="U112" s="15">
        <f>N112-T112</f>
        <v>2000000</v>
      </c>
      <c r="V112" s="15">
        <f>U112-W112-X112-Y112</f>
        <v>2000000</v>
      </c>
      <c r="W112" s="7"/>
      <c r="X112" s="7"/>
      <c r="Y112" s="14"/>
      <c r="Z112" s="6">
        <v>850000</v>
      </c>
      <c r="AA112" s="13"/>
      <c r="AB112" s="17"/>
      <c r="AC112" s="17"/>
      <c r="AD112" s="17"/>
      <c r="AE112" s="17"/>
      <c r="AF112" s="167"/>
      <c r="AG112" s="7"/>
      <c r="AH112" s="232">
        <f>V112-AG112</f>
        <v>2000000</v>
      </c>
      <c r="AI112" s="21"/>
      <c r="AJ112" s="21"/>
      <c r="AK112" s="21"/>
      <c r="AL112" s="21"/>
      <c r="AM112" s="21"/>
    </row>
    <row r="113" spans="1:39" s="393" customFormat="1" ht="15.6" x14ac:dyDescent="0.3">
      <c r="A113" s="11"/>
      <c r="B113" s="387"/>
      <c r="C113" s="241">
        <v>85</v>
      </c>
      <c r="D113" s="217">
        <f>SUM(D110:D112)</f>
        <v>11202877</v>
      </c>
      <c r="E113" s="217">
        <f t="shared" ref="E113:Y113" si="50">SUM(E110:E112)</f>
        <v>11202877</v>
      </c>
      <c r="F113" s="217">
        <f t="shared" si="50"/>
        <v>0</v>
      </c>
      <c r="G113" s="217">
        <f t="shared" si="50"/>
        <v>6302877</v>
      </c>
      <c r="H113" s="217">
        <f t="shared" si="50"/>
        <v>5970068</v>
      </c>
      <c r="I113" s="217">
        <f t="shared" si="50"/>
        <v>331961.05</v>
      </c>
      <c r="J113" s="217">
        <f t="shared" si="50"/>
        <v>0</v>
      </c>
      <c r="K113" s="217">
        <f t="shared" si="50"/>
        <v>331961.05</v>
      </c>
      <c r="L113" s="217">
        <f t="shared" si="50"/>
        <v>6302029.0499999998</v>
      </c>
      <c r="M113" s="217">
        <f t="shared" si="50"/>
        <v>847.95000000012806</v>
      </c>
      <c r="N113" s="217">
        <f t="shared" si="50"/>
        <v>2900000</v>
      </c>
      <c r="O113" s="217">
        <f t="shared" si="50"/>
        <v>2000000</v>
      </c>
      <c r="P113" s="217">
        <f t="shared" si="50"/>
        <v>847.95000000012806</v>
      </c>
      <c r="Q113" s="217">
        <f t="shared" si="50"/>
        <v>0</v>
      </c>
      <c r="R113" s="217">
        <f t="shared" si="50"/>
        <v>0</v>
      </c>
      <c r="S113" s="217">
        <f t="shared" si="50"/>
        <v>0</v>
      </c>
      <c r="T113" s="217">
        <f t="shared" si="50"/>
        <v>0</v>
      </c>
      <c r="U113" s="217">
        <f t="shared" si="50"/>
        <v>2900000</v>
      </c>
      <c r="V113" s="217">
        <f t="shared" si="50"/>
        <v>2900000</v>
      </c>
      <c r="W113" s="217">
        <f t="shared" si="50"/>
        <v>0</v>
      </c>
      <c r="X113" s="217">
        <f t="shared" si="50"/>
        <v>0</v>
      </c>
      <c r="Y113" s="217">
        <f t="shared" si="50"/>
        <v>0</v>
      </c>
      <c r="Z113" s="11"/>
      <c r="AA113" s="13"/>
      <c r="AB113" s="388"/>
      <c r="AC113" s="388"/>
      <c r="AD113" s="388"/>
      <c r="AE113" s="388"/>
      <c r="AF113" s="389"/>
      <c r="AG113" s="12"/>
      <c r="AH113" s="392"/>
      <c r="AI113" s="390"/>
      <c r="AJ113" s="390"/>
      <c r="AK113" s="390"/>
      <c r="AL113" s="390"/>
      <c r="AM113" s="390"/>
    </row>
    <row r="114" spans="1:39" s="77" customFormat="1" ht="15.6" x14ac:dyDescent="0.25">
      <c r="A114" s="6"/>
      <c r="B114" s="61"/>
      <c r="C114" s="14"/>
      <c r="D114" s="15"/>
      <c r="E114" s="7"/>
      <c r="F114" s="7"/>
      <c r="G114" s="7"/>
      <c r="H114" s="7"/>
      <c r="I114" s="7"/>
      <c r="J114" s="7"/>
      <c r="K114" s="7"/>
      <c r="L114" s="7"/>
      <c r="M114" s="15"/>
      <c r="N114" s="15"/>
      <c r="O114" s="7"/>
      <c r="P114" s="7"/>
      <c r="Q114" s="7"/>
      <c r="R114" s="15"/>
      <c r="S114" s="7"/>
      <c r="T114" s="15"/>
      <c r="U114" s="15"/>
      <c r="V114" s="15"/>
      <c r="W114" s="7"/>
      <c r="X114" s="7"/>
      <c r="Y114" s="14"/>
      <c r="Z114" s="6"/>
      <c r="AA114" s="13"/>
      <c r="AB114" s="17"/>
      <c r="AC114" s="17"/>
      <c r="AD114" s="17"/>
      <c r="AE114" s="17"/>
      <c r="AF114" s="167"/>
      <c r="AG114" s="7"/>
      <c r="AH114" s="232"/>
      <c r="AI114" s="21"/>
      <c r="AJ114" s="21"/>
      <c r="AK114" s="21"/>
      <c r="AL114" s="21"/>
      <c r="AM114" s="21"/>
    </row>
    <row r="115" spans="1:39" s="77" customFormat="1" ht="15.6" x14ac:dyDescent="0.25">
      <c r="A115" s="6"/>
      <c r="B115" s="61"/>
      <c r="C115" s="14"/>
      <c r="D115" s="15"/>
      <c r="E115" s="7"/>
      <c r="F115" s="7"/>
      <c r="G115" s="7"/>
      <c r="H115" s="7"/>
      <c r="I115" s="7"/>
      <c r="J115" s="7"/>
      <c r="K115" s="7"/>
      <c r="L115" s="7"/>
      <c r="M115" s="15"/>
      <c r="N115" s="15"/>
      <c r="O115" s="7"/>
      <c r="P115" s="7"/>
      <c r="Q115" s="7"/>
      <c r="R115" s="15"/>
      <c r="S115" s="7"/>
      <c r="T115" s="15"/>
      <c r="U115" s="15"/>
      <c r="V115" s="15"/>
      <c r="W115" s="7"/>
      <c r="X115" s="7"/>
      <c r="Y115" s="14"/>
      <c r="Z115" s="6"/>
      <c r="AA115" s="13"/>
      <c r="AB115" s="17"/>
      <c r="AC115" s="17"/>
      <c r="AD115" s="17"/>
      <c r="AE115" s="17"/>
      <c r="AF115" s="167"/>
      <c r="AG115" s="7"/>
      <c r="AH115" s="232"/>
      <c r="AI115" s="21"/>
      <c r="AJ115" s="21"/>
      <c r="AK115" s="21"/>
      <c r="AL115" s="21"/>
      <c r="AM115" s="21"/>
    </row>
    <row r="116" spans="1:39" x14ac:dyDescent="0.25">
      <c r="A116" s="6">
        <f>A112+1</f>
        <v>96</v>
      </c>
      <c r="B116" s="6">
        <v>1312</v>
      </c>
      <c r="C116" s="14" t="s">
        <v>54</v>
      </c>
      <c r="D116" s="15">
        <f>109000000+6000000</f>
        <v>115000000</v>
      </c>
      <c r="E116" s="7">
        <v>109000000</v>
      </c>
      <c r="F116" s="7">
        <f>D116-E116</f>
        <v>6000000</v>
      </c>
      <c r="G116" s="7">
        <v>87192531</v>
      </c>
      <c r="H116" s="7">
        <v>41789340.969999999</v>
      </c>
      <c r="I116" s="7">
        <v>4436543.66</v>
      </c>
      <c r="J116" s="7">
        <v>2552643.48</v>
      </c>
      <c r="K116" s="7">
        <f>SUM(I116:J116)</f>
        <v>6989187.1400000006</v>
      </c>
      <c r="L116" s="7">
        <f>H116+K116</f>
        <v>48778528.109999999</v>
      </c>
      <c r="M116" s="15">
        <f>P116+S116</f>
        <v>60221471.890000001</v>
      </c>
      <c r="N116" s="15">
        <f>6000000-6000000</f>
        <v>0</v>
      </c>
      <c r="O116" s="7">
        <f>D116-L116-M116-N116</f>
        <v>6000000</v>
      </c>
      <c r="P116" s="7">
        <f>G116-L116</f>
        <v>38414002.890000001</v>
      </c>
      <c r="Q116" s="197">
        <v>21807469</v>
      </c>
      <c r="R116" s="15"/>
      <c r="S116" s="7">
        <f>SUM(Q116:R116)</f>
        <v>21807469</v>
      </c>
      <c r="T116" s="15">
        <f>P116-M116+S116</f>
        <v>0</v>
      </c>
      <c r="U116" s="15">
        <f>N116-T116</f>
        <v>0</v>
      </c>
      <c r="V116" s="15">
        <f>U116-W116-X116-Y116</f>
        <v>-6500000</v>
      </c>
      <c r="W116" s="7">
        <v>6500000</v>
      </c>
      <c r="X116" s="7"/>
      <c r="Y116" s="14"/>
      <c r="Z116" s="6">
        <v>930000</v>
      </c>
      <c r="AA116" s="8"/>
      <c r="AB116" s="8"/>
      <c r="AC116" s="8"/>
      <c r="AD116" s="8"/>
      <c r="AE116" s="8"/>
      <c r="AF116" s="6"/>
      <c r="AG116" s="7"/>
      <c r="AH116" s="7">
        <f>V116-AG116</f>
        <v>-6500000</v>
      </c>
      <c r="AI116" s="8"/>
      <c r="AJ116" s="8"/>
      <c r="AK116" s="8"/>
      <c r="AL116" s="8"/>
      <c r="AM116" s="8"/>
    </row>
    <row r="117" spans="1:39" x14ac:dyDescent="0.25">
      <c r="A117" s="6">
        <f>A116+1</f>
        <v>97</v>
      </c>
      <c r="B117" s="14">
        <v>1616</v>
      </c>
      <c r="C117" s="14" t="s">
        <v>218</v>
      </c>
      <c r="D117" s="15">
        <f>3400000-2125000</f>
        <v>1275000</v>
      </c>
      <c r="E117" s="15">
        <v>3400000</v>
      </c>
      <c r="F117" s="7">
        <f>D117-E117</f>
        <v>-2125000</v>
      </c>
      <c r="G117" s="15">
        <f>350000+800000</f>
        <v>1150000</v>
      </c>
      <c r="H117" s="15">
        <v>32395</v>
      </c>
      <c r="I117" s="15">
        <v>317547.96000000002</v>
      </c>
      <c r="J117" s="15"/>
      <c r="K117" s="15">
        <f>SUM(I117:J117)</f>
        <v>317547.96000000002</v>
      </c>
      <c r="L117" s="15">
        <f>H117+K117</f>
        <v>349942.96</v>
      </c>
      <c r="M117" s="15">
        <f>P117+S117</f>
        <v>800057.04</v>
      </c>
      <c r="N117" s="15">
        <v>125000</v>
      </c>
      <c r="O117" s="15">
        <f>D117-L117-M117-N117</f>
        <v>0</v>
      </c>
      <c r="P117" s="15">
        <f>G117-L117</f>
        <v>800057.04</v>
      </c>
      <c r="Q117" s="15"/>
      <c r="R117" s="15"/>
      <c r="S117" s="15">
        <f>SUM(Q117:R117)</f>
        <v>0</v>
      </c>
      <c r="T117" s="15">
        <f>P117-M117+S117</f>
        <v>0</v>
      </c>
      <c r="U117" s="15">
        <f>N117-T117</f>
        <v>125000</v>
      </c>
      <c r="V117" s="15">
        <f>U117-W117-X117-Y117</f>
        <v>125000</v>
      </c>
      <c r="W117" s="15"/>
      <c r="X117" s="15"/>
      <c r="Y117" s="14"/>
      <c r="Z117" s="14">
        <v>930000</v>
      </c>
      <c r="AA117" s="16"/>
      <c r="AB117" s="16"/>
      <c r="AC117" s="16"/>
      <c r="AD117" s="16"/>
      <c r="AE117" s="16"/>
      <c r="AF117" s="14"/>
      <c r="AG117" s="14"/>
      <c r="AH117" s="7">
        <f>V117-AG117</f>
        <v>125000</v>
      </c>
      <c r="AI117" s="16"/>
      <c r="AJ117" s="16"/>
      <c r="AK117" s="16"/>
      <c r="AL117" s="16"/>
      <c r="AM117" s="16"/>
    </row>
    <row r="118" spans="1:39" x14ac:dyDescent="0.25">
      <c r="A118" s="6">
        <f>A117+1</f>
        <v>98</v>
      </c>
      <c r="B118" s="14">
        <v>1836</v>
      </c>
      <c r="C118" s="14" t="s">
        <v>309</v>
      </c>
      <c r="D118" s="15">
        <v>500000</v>
      </c>
      <c r="E118" s="15">
        <v>500000</v>
      </c>
      <c r="F118" s="7">
        <f>D118-E118</f>
        <v>0</v>
      </c>
      <c r="G118" s="15">
        <v>0</v>
      </c>
      <c r="H118" s="15">
        <v>0</v>
      </c>
      <c r="I118" s="15"/>
      <c r="J118" s="15"/>
      <c r="K118" s="15">
        <f>SUM(I118:J118)</f>
        <v>0</v>
      </c>
      <c r="L118" s="15">
        <f>H118+K118</f>
        <v>0</v>
      </c>
      <c r="M118" s="15">
        <f>P118+S118</f>
        <v>500000</v>
      </c>
      <c r="N118" s="15"/>
      <c r="O118" s="15">
        <f>D118-L118-M118-N118</f>
        <v>0</v>
      </c>
      <c r="P118" s="15">
        <f>G118-L118</f>
        <v>0</v>
      </c>
      <c r="Q118" s="15">
        <v>500000</v>
      </c>
      <c r="R118" s="15"/>
      <c r="S118" s="15">
        <f>SUM(Q118:R118)</f>
        <v>500000</v>
      </c>
      <c r="T118" s="15">
        <f>P118-M118+S118</f>
        <v>0</v>
      </c>
      <c r="U118" s="15">
        <f>N118-T118</f>
        <v>0</v>
      </c>
      <c r="V118" s="15">
        <f>U118-Y118-W118-X118</f>
        <v>0</v>
      </c>
      <c r="W118" s="15"/>
      <c r="X118" s="15"/>
      <c r="Y118" s="14"/>
      <c r="Z118" s="14">
        <v>930000</v>
      </c>
      <c r="AA118" s="16"/>
      <c r="AB118" s="16"/>
      <c r="AC118" s="16"/>
      <c r="AD118" s="16"/>
      <c r="AE118" s="16"/>
      <c r="AF118" s="14"/>
      <c r="AG118" s="7"/>
      <c r="AH118" s="7">
        <f>V118-AG118</f>
        <v>0</v>
      </c>
      <c r="AI118" s="16"/>
      <c r="AJ118" s="16"/>
      <c r="AK118" s="16"/>
      <c r="AL118" s="16"/>
      <c r="AM118" s="16"/>
    </row>
    <row r="119" spans="1:39" ht="15.6" x14ac:dyDescent="0.25">
      <c r="A119" s="6">
        <f>A118+1</f>
        <v>99</v>
      </c>
      <c r="B119" s="61">
        <v>1903</v>
      </c>
      <c r="C119" s="14" t="s">
        <v>332</v>
      </c>
      <c r="D119" s="15">
        <v>1700000</v>
      </c>
      <c r="E119" s="7">
        <v>1700000</v>
      </c>
      <c r="F119" s="7">
        <f>D119-E119</f>
        <v>0</v>
      </c>
      <c r="G119" s="7">
        <v>200000</v>
      </c>
      <c r="H119" s="7">
        <v>0</v>
      </c>
      <c r="I119" s="7"/>
      <c r="J119" s="7"/>
      <c r="K119" s="7">
        <f>SUM(I119:J119)</f>
        <v>0</v>
      </c>
      <c r="L119" s="7">
        <f>H119+K119</f>
        <v>0</v>
      </c>
      <c r="M119" s="15">
        <f>P119+S119</f>
        <v>900000</v>
      </c>
      <c r="N119" s="15">
        <v>800000</v>
      </c>
      <c r="O119" s="7">
        <f>D119-L119-M119-N119</f>
        <v>0</v>
      </c>
      <c r="P119" s="7">
        <f>G119-L119</f>
        <v>200000</v>
      </c>
      <c r="Q119" s="7"/>
      <c r="R119" s="197">
        <v>700000</v>
      </c>
      <c r="S119" s="7">
        <f>SUM(Q119:R119)</f>
        <v>700000</v>
      </c>
      <c r="T119" s="15">
        <f>P119-M119+S119</f>
        <v>0</v>
      </c>
      <c r="U119" s="15">
        <f>N119-T119</f>
        <v>800000</v>
      </c>
      <c r="V119" s="15">
        <f>U119-W119-X119-Y119</f>
        <v>800000</v>
      </c>
      <c r="W119" s="7"/>
      <c r="X119" s="7"/>
      <c r="Y119" s="14"/>
      <c r="Z119" s="6">
        <v>930000</v>
      </c>
      <c r="AA119" s="13"/>
      <c r="AB119" s="17"/>
      <c r="AC119" s="17"/>
      <c r="AD119" s="17"/>
      <c r="AE119" s="17"/>
      <c r="AF119" s="167"/>
      <c r="AG119" s="167"/>
      <c r="AH119" s="7">
        <f>V119-AG119</f>
        <v>800000</v>
      </c>
    </row>
    <row r="120" spans="1:39" s="390" customFormat="1" ht="15.6" x14ac:dyDescent="0.3">
      <c r="A120" s="11"/>
      <c r="B120" s="387"/>
      <c r="C120" s="241">
        <v>93</v>
      </c>
      <c r="D120" s="217">
        <f>SUM(D116:D119)</f>
        <v>118475000</v>
      </c>
      <c r="E120" s="217">
        <f t="shared" ref="E120:Y120" si="51">SUM(E116:E119)</f>
        <v>114600000</v>
      </c>
      <c r="F120" s="217">
        <f t="shared" si="51"/>
        <v>3875000</v>
      </c>
      <c r="G120" s="217">
        <f t="shared" si="51"/>
        <v>88542531</v>
      </c>
      <c r="H120" s="217">
        <f t="shared" si="51"/>
        <v>41821735.969999999</v>
      </c>
      <c r="I120" s="217">
        <f t="shared" si="51"/>
        <v>4754091.62</v>
      </c>
      <c r="J120" s="217">
        <f t="shared" si="51"/>
        <v>2552643.48</v>
      </c>
      <c r="K120" s="217">
        <f t="shared" si="51"/>
        <v>7306735.1000000006</v>
      </c>
      <c r="L120" s="217">
        <f t="shared" si="51"/>
        <v>49128471.07</v>
      </c>
      <c r="M120" s="217">
        <f t="shared" si="51"/>
        <v>62421528.93</v>
      </c>
      <c r="N120" s="217">
        <f t="shared" si="51"/>
        <v>925000</v>
      </c>
      <c r="O120" s="217">
        <f t="shared" si="51"/>
        <v>6000000</v>
      </c>
      <c r="P120" s="217">
        <f t="shared" si="51"/>
        <v>39414059.93</v>
      </c>
      <c r="Q120" s="217">
        <f t="shared" si="51"/>
        <v>22307469</v>
      </c>
      <c r="R120" s="217">
        <f t="shared" si="51"/>
        <v>700000</v>
      </c>
      <c r="S120" s="217">
        <f t="shared" si="51"/>
        <v>23007469</v>
      </c>
      <c r="T120" s="217">
        <f t="shared" si="51"/>
        <v>0</v>
      </c>
      <c r="U120" s="217">
        <f t="shared" si="51"/>
        <v>925000</v>
      </c>
      <c r="V120" s="217">
        <f t="shared" si="51"/>
        <v>-5575000</v>
      </c>
      <c r="W120" s="217">
        <f t="shared" si="51"/>
        <v>6500000</v>
      </c>
      <c r="X120" s="217">
        <f t="shared" si="51"/>
        <v>0</v>
      </c>
      <c r="Y120" s="217">
        <f t="shared" si="51"/>
        <v>0</v>
      </c>
      <c r="Z120" s="11"/>
      <c r="AA120" s="13"/>
      <c r="AB120" s="388"/>
      <c r="AC120" s="388"/>
      <c r="AD120" s="388"/>
      <c r="AE120" s="388"/>
      <c r="AF120" s="389"/>
      <c r="AG120" s="389"/>
      <c r="AH120" s="12"/>
    </row>
    <row r="121" spans="1:39" s="159" customFormat="1" ht="15.6" x14ac:dyDescent="0.25">
      <c r="A121" s="3"/>
      <c r="B121" s="78"/>
      <c r="C121" s="239"/>
      <c r="D121" s="216"/>
      <c r="E121" s="157"/>
      <c r="F121" s="157"/>
      <c r="G121" s="157"/>
      <c r="H121" s="157"/>
      <c r="I121" s="157"/>
      <c r="J121" s="157"/>
      <c r="K121" s="157"/>
      <c r="L121" s="157"/>
      <c r="M121" s="216"/>
      <c r="N121" s="216"/>
      <c r="O121" s="157"/>
      <c r="P121" s="157"/>
      <c r="Q121" s="157"/>
      <c r="R121" s="157"/>
      <c r="S121" s="157"/>
      <c r="T121" s="216"/>
      <c r="U121" s="216"/>
      <c r="V121" s="216"/>
      <c r="W121" s="157"/>
      <c r="X121" s="157"/>
      <c r="Y121" s="216"/>
      <c r="Z121" s="373"/>
      <c r="AA121" s="13"/>
      <c r="AB121" s="158"/>
      <c r="AC121" s="158"/>
      <c r="AD121" s="158"/>
      <c r="AE121" s="158"/>
      <c r="AF121" s="374"/>
      <c r="AG121" s="374"/>
      <c r="AH121" s="57">
        <f>V121-AG121</f>
        <v>0</v>
      </c>
    </row>
    <row r="122" spans="1:39" ht="15.6" x14ac:dyDescent="0.25">
      <c r="A122" s="78">
        <f>A119</f>
        <v>99</v>
      </c>
      <c r="B122" s="11" t="s">
        <v>102</v>
      </c>
      <c r="C122" s="241" t="s">
        <v>219</v>
      </c>
      <c r="D122" s="217">
        <f>D120+D113+D107+D66+D63+D18+D8</f>
        <v>1849788405</v>
      </c>
      <c r="E122" s="217">
        <f t="shared" ref="E122:Y122" si="52">E120+E113+E107+E66+E63+E18+E8</f>
        <v>1457008347</v>
      </c>
      <c r="F122" s="217">
        <f t="shared" si="52"/>
        <v>392780058</v>
      </c>
      <c r="G122" s="217">
        <f t="shared" si="52"/>
        <v>571732958</v>
      </c>
      <c r="H122" s="217">
        <f t="shared" si="52"/>
        <v>419055069.12</v>
      </c>
      <c r="I122" s="217">
        <f t="shared" si="52"/>
        <v>48972870.699999996</v>
      </c>
      <c r="J122" s="217">
        <f t="shared" si="52"/>
        <v>7502690.7400000002</v>
      </c>
      <c r="K122" s="217">
        <f t="shared" si="52"/>
        <v>56475561.439999998</v>
      </c>
      <c r="L122" s="217">
        <f t="shared" si="52"/>
        <v>475530630.55999994</v>
      </c>
      <c r="M122" s="217">
        <f t="shared" si="52"/>
        <v>251630013.44000003</v>
      </c>
      <c r="N122" s="217">
        <f t="shared" si="52"/>
        <v>333402275</v>
      </c>
      <c r="O122" s="217">
        <f t="shared" si="52"/>
        <v>789225486</v>
      </c>
      <c r="P122" s="217">
        <f t="shared" si="52"/>
        <v>96202327.439999998</v>
      </c>
      <c r="Q122" s="217">
        <f t="shared" si="52"/>
        <v>113321145</v>
      </c>
      <c r="R122" s="217">
        <f t="shared" si="52"/>
        <v>43852000</v>
      </c>
      <c r="S122" s="217">
        <f t="shared" si="52"/>
        <v>157173145</v>
      </c>
      <c r="T122" s="217">
        <f t="shared" si="52"/>
        <v>1745459</v>
      </c>
      <c r="U122" s="217">
        <f t="shared" si="52"/>
        <v>331656816</v>
      </c>
      <c r="V122" s="217">
        <f t="shared" si="52"/>
        <v>137680940.30000001</v>
      </c>
      <c r="W122" s="217">
        <f t="shared" si="52"/>
        <v>6500000</v>
      </c>
      <c r="X122" s="217">
        <f t="shared" si="52"/>
        <v>0</v>
      </c>
      <c r="Y122" s="217">
        <f t="shared" si="52"/>
        <v>187475875.69999999</v>
      </c>
      <c r="Z122" s="11"/>
      <c r="AA122" s="17"/>
      <c r="AF122" s="167"/>
      <c r="AG122" s="217" t="e">
        <f>#REF!+#REF!</f>
        <v>#REF!</v>
      </c>
      <c r="AH122" s="217" t="e">
        <f>#REF!+#REF!</f>
        <v>#REF!</v>
      </c>
    </row>
    <row r="123" spans="1:39" ht="15.6" x14ac:dyDescent="0.25">
      <c r="A123" s="78"/>
      <c r="B123" s="11"/>
      <c r="C123" s="241"/>
      <c r="D123" s="217"/>
      <c r="E123" s="12"/>
      <c r="F123" s="12"/>
      <c r="G123" s="12"/>
      <c r="H123" s="12"/>
      <c r="I123" s="12"/>
      <c r="J123" s="12"/>
      <c r="K123" s="12"/>
      <c r="L123" s="12"/>
      <c r="M123" s="217"/>
      <c r="N123" s="217"/>
      <c r="O123" s="12"/>
      <c r="P123" s="12"/>
      <c r="Q123" s="12"/>
      <c r="R123" s="12"/>
      <c r="S123" s="12"/>
      <c r="T123" s="217"/>
      <c r="U123" s="217"/>
      <c r="V123" s="217"/>
      <c r="W123" s="12"/>
      <c r="X123" s="12"/>
      <c r="Y123" s="217"/>
      <c r="Z123" s="11"/>
      <c r="AA123" s="17"/>
      <c r="AH123" s="7">
        <f>V123-AG123</f>
        <v>0</v>
      </c>
    </row>
    <row r="124" spans="1:39" ht="15.6" x14ac:dyDescent="0.25">
      <c r="A124" s="155"/>
      <c r="B124" s="67"/>
      <c r="C124" s="242"/>
      <c r="D124" s="218"/>
      <c r="E124" s="156"/>
      <c r="F124" s="156"/>
      <c r="G124" s="156"/>
      <c r="H124" s="156"/>
      <c r="I124" s="156"/>
      <c r="J124" s="156"/>
      <c r="K124" s="156"/>
      <c r="L124" s="156"/>
      <c r="M124" s="218"/>
      <c r="N124" s="218"/>
      <c r="O124" s="156"/>
      <c r="P124" s="156"/>
      <c r="Q124" s="156"/>
      <c r="R124" s="156"/>
      <c r="S124" s="156"/>
      <c r="T124" s="218"/>
      <c r="U124" s="218"/>
      <c r="V124" s="218"/>
      <c r="W124" s="156"/>
      <c r="X124" s="156"/>
      <c r="Y124" s="218"/>
      <c r="Z124" s="67"/>
      <c r="AA124" s="17"/>
    </row>
    <row r="125" spans="1:39" ht="15.6" x14ac:dyDescent="0.25">
      <c r="A125" s="155"/>
      <c r="B125" s="67"/>
      <c r="C125" s="242"/>
      <c r="D125" s="218"/>
      <c r="E125" s="156"/>
      <c r="F125" s="156"/>
      <c r="G125" s="156"/>
      <c r="H125" s="156"/>
      <c r="I125" s="156"/>
      <c r="J125" s="156"/>
      <c r="K125" s="156"/>
      <c r="L125" s="156"/>
      <c r="M125" s="218"/>
      <c r="N125" s="218"/>
      <c r="O125" s="156"/>
      <c r="P125" s="156"/>
      <c r="Q125" s="156"/>
      <c r="R125" s="156"/>
      <c r="S125" s="156"/>
      <c r="T125" s="218"/>
      <c r="U125" s="218"/>
      <c r="V125" s="218"/>
      <c r="W125" s="156"/>
      <c r="X125" s="156"/>
      <c r="Y125" s="218"/>
      <c r="Z125" s="67"/>
      <c r="AA125" s="17"/>
      <c r="AC125" s="19"/>
      <c r="AH125" s="21">
        <v>252353559</v>
      </c>
    </row>
    <row r="126" spans="1:39" hidden="1" x14ac:dyDescent="0.25">
      <c r="B126" s="17"/>
      <c r="C126" s="76"/>
      <c r="D126" s="235"/>
      <c r="E126" s="18"/>
      <c r="F126" s="18"/>
      <c r="G126" s="18"/>
      <c r="H126" s="18"/>
      <c r="I126" s="18"/>
      <c r="J126" s="18"/>
      <c r="K126" s="18"/>
      <c r="L126" s="18"/>
      <c r="M126" s="235"/>
      <c r="N126" s="235"/>
      <c r="O126" s="18"/>
      <c r="P126" s="18"/>
      <c r="Q126" s="18"/>
      <c r="R126" s="18"/>
      <c r="S126" s="18"/>
      <c r="T126" s="235"/>
      <c r="U126" s="76"/>
      <c r="V126" s="76"/>
      <c r="W126" s="17"/>
      <c r="X126" s="17"/>
      <c r="Y126" s="235"/>
      <c r="Z126" s="17"/>
      <c r="AA126" s="17"/>
      <c r="AC126" s="21" t="s">
        <v>530</v>
      </c>
      <c r="AH126" s="19">
        <f>AH125-V122</f>
        <v>114672618.69999999</v>
      </c>
    </row>
    <row r="127" spans="1:39" hidden="1" x14ac:dyDescent="0.25">
      <c r="B127" s="17"/>
      <c r="C127" s="76"/>
      <c r="D127" s="235"/>
      <c r="E127" s="18"/>
      <c r="F127" s="18"/>
      <c r="G127" s="18"/>
      <c r="H127" s="18"/>
      <c r="I127" s="18"/>
      <c r="J127" s="18"/>
      <c r="K127" s="18"/>
      <c r="L127" s="73">
        <f>K122+H122</f>
        <v>475530630.56</v>
      </c>
      <c r="M127" s="238">
        <f>P122+S122-T122</f>
        <v>251630013.44</v>
      </c>
      <c r="N127" s="235"/>
      <c r="O127" s="18"/>
      <c r="P127" s="68">
        <f>G122-L122</f>
        <v>96202327.440000057</v>
      </c>
      <c r="Q127" s="18"/>
      <c r="R127" s="18"/>
      <c r="S127" s="18"/>
      <c r="T127" s="238">
        <f>P122+S122-M122</f>
        <v>1745458.9999999702</v>
      </c>
      <c r="U127" s="219">
        <f>N122-T122</f>
        <v>331656816</v>
      </c>
      <c r="V127" s="237"/>
      <c r="W127" s="55"/>
      <c r="X127" s="55"/>
      <c r="Z127" s="17"/>
      <c r="AB127" s="17">
        <v>3550</v>
      </c>
      <c r="AC127" s="21" t="s">
        <v>405</v>
      </c>
    </row>
    <row r="128" spans="1:39" hidden="1" x14ac:dyDescent="0.25">
      <c r="B128" s="17"/>
      <c r="C128" s="76"/>
      <c r="D128" s="235"/>
      <c r="E128" s="18"/>
      <c r="F128" s="18"/>
      <c r="G128" s="18"/>
      <c r="H128" s="18"/>
      <c r="I128" s="18"/>
      <c r="J128" s="18"/>
      <c r="K128" s="18"/>
      <c r="L128" s="18"/>
      <c r="M128" s="235"/>
      <c r="N128" s="235"/>
      <c r="O128" s="18"/>
      <c r="Q128" s="18"/>
      <c r="R128" s="18"/>
      <c r="S128" s="18"/>
      <c r="U128" s="76"/>
      <c r="V128" s="76"/>
      <c r="W128" s="17"/>
      <c r="X128" s="17"/>
      <c r="Z128" s="17"/>
      <c r="AB128" s="17">
        <v>850</v>
      </c>
      <c r="AC128" s="21" t="s">
        <v>405</v>
      </c>
    </row>
    <row r="129" spans="1:39" hidden="1" x14ac:dyDescent="0.25">
      <c r="M129" s="77" t="s">
        <v>413</v>
      </c>
      <c r="N129" s="236" t="s">
        <v>422</v>
      </c>
      <c r="O129" s="19" t="s">
        <v>411</v>
      </c>
      <c r="P129" s="19">
        <f>'[1]החברה לפיתוח '!$AY$58</f>
        <v>54712469</v>
      </c>
      <c r="Q129" s="68">
        <f>'[4]החברה לפיתוח '!$AY$57</f>
        <v>54712469</v>
      </c>
      <c r="AB129" s="21">
        <v>850</v>
      </c>
      <c r="AC129" s="21">
        <v>1375</v>
      </c>
    </row>
    <row r="130" spans="1:39" hidden="1" x14ac:dyDescent="0.25">
      <c r="N130" s="77" t="s">
        <v>416</v>
      </c>
      <c r="O130" s="21" t="s">
        <v>417</v>
      </c>
      <c r="P130" s="21"/>
      <c r="Q130" s="19">
        <v>1300000</v>
      </c>
      <c r="X130" s="19">
        <f>405208078-U122</f>
        <v>73551262</v>
      </c>
      <c r="AB130" s="21">
        <v>125</v>
      </c>
      <c r="AC130" s="21">
        <v>1616</v>
      </c>
    </row>
    <row r="131" spans="1:39" hidden="1" x14ac:dyDescent="0.25">
      <c r="N131" s="77" t="s">
        <v>416</v>
      </c>
      <c r="O131" s="21" t="s">
        <v>424</v>
      </c>
      <c r="P131" s="21"/>
      <c r="Q131" s="19">
        <f>Q73</f>
        <v>0</v>
      </c>
      <c r="AB131" s="21">
        <f>SUM(AB127:AB130)</f>
        <v>5375</v>
      </c>
      <c r="AC131" s="21" t="s">
        <v>248</v>
      </c>
    </row>
    <row r="132" spans="1:39" hidden="1" x14ac:dyDescent="0.25">
      <c r="N132" s="77"/>
      <c r="O132" s="21"/>
      <c r="P132" s="19">
        <f>'[1]תבל '!$AY$86</f>
        <v>3701120</v>
      </c>
      <c r="Q132" s="68">
        <f>SUM(Q130:Q131)</f>
        <v>1300000</v>
      </c>
      <c r="X132" s="21">
        <f>9250000+16000000+12000000+27660000</f>
        <v>64910000</v>
      </c>
      <c r="AB132" s="21">
        <v>-200</v>
      </c>
      <c r="AC132" s="21" t="s">
        <v>538</v>
      </c>
    </row>
    <row r="133" spans="1:39" hidden="1" x14ac:dyDescent="0.25">
      <c r="N133" s="236" t="s">
        <v>414</v>
      </c>
      <c r="O133" s="19" t="s">
        <v>423</v>
      </c>
      <c r="Q133" s="19">
        <v>2830000</v>
      </c>
      <c r="AB133" s="21">
        <f>SUM(AB131:AB132)</f>
        <v>5175</v>
      </c>
    </row>
    <row r="134" spans="1:39" hidden="1" x14ac:dyDescent="0.25">
      <c r="O134" s="19" t="s">
        <v>418</v>
      </c>
      <c r="Q134" s="19">
        <v>14000000</v>
      </c>
    </row>
    <row r="135" spans="1:39" hidden="1" x14ac:dyDescent="0.25">
      <c r="L135" s="202" t="s">
        <v>542</v>
      </c>
      <c r="O135" s="19" t="s">
        <v>415</v>
      </c>
      <c r="Q135" s="19">
        <v>24177556</v>
      </c>
      <c r="AB135" s="19">
        <f>U122-517118078</f>
        <v>-185461262</v>
      </c>
    </row>
    <row r="136" spans="1:39" hidden="1" x14ac:dyDescent="0.25">
      <c r="O136" s="19" t="s">
        <v>420</v>
      </c>
      <c r="Q136" s="19">
        <v>7300000</v>
      </c>
    </row>
    <row r="137" spans="1:39" hidden="1" x14ac:dyDescent="0.25">
      <c r="O137" s="19" t="s">
        <v>421</v>
      </c>
      <c r="Q137" s="19">
        <v>500000</v>
      </c>
      <c r="AC137" s="19">
        <f>471068078+850000+125000-200000</f>
        <v>471843078</v>
      </c>
    </row>
    <row r="138" spans="1:39" hidden="1" x14ac:dyDescent="0.25">
      <c r="O138" s="19" t="s">
        <v>425</v>
      </c>
      <c r="Q138" s="19">
        <v>6100000</v>
      </c>
    </row>
    <row r="139" spans="1:39" hidden="1" x14ac:dyDescent="0.25">
      <c r="P139" s="19">
        <f>'[1]הנדסה '!$AZ$208</f>
        <v>54907556</v>
      </c>
      <c r="Q139" s="68">
        <f>SUM(Q133:Q138)</f>
        <v>54907556</v>
      </c>
      <c r="AC139" s="19" t="e">
        <f>#REF!+#REF!</f>
        <v>#REF!</v>
      </c>
    </row>
    <row r="140" spans="1:39" s="77" customFormat="1" hidden="1" x14ac:dyDescent="0.25">
      <c r="A140" s="20"/>
      <c r="B140" s="21"/>
      <c r="D140" s="236"/>
      <c r="E140" s="19"/>
      <c r="F140" s="19"/>
      <c r="G140" s="19"/>
      <c r="H140" s="19"/>
      <c r="I140" s="19"/>
      <c r="J140" s="19"/>
      <c r="K140" s="19"/>
      <c r="L140" s="19"/>
      <c r="M140" s="236"/>
      <c r="N140" s="236"/>
      <c r="O140" s="19" t="s">
        <v>248</v>
      </c>
      <c r="P140" s="19">
        <f>SUM(P129:P139)</f>
        <v>113321145</v>
      </c>
      <c r="Q140" s="72">
        <f>Q139+Q132+Q129</f>
        <v>110920025</v>
      </c>
      <c r="R140" s="19">
        <f>Q122-Q140</f>
        <v>2401120</v>
      </c>
      <c r="S140" s="19"/>
      <c r="T140" s="236"/>
      <c r="W140" s="21"/>
      <c r="X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s="77" customFormat="1" hidden="1" x14ac:dyDescent="0.25">
      <c r="A141" s="20"/>
      <c r="B141" s="21"/>
      <c r="D141" s="236"/>
      <c r="E141" s="19"/>
      <c r="F141" s="19"/>
      <c r="G141" s="19"/>
      <c r="H141" s="19"/>
      <c r="I141" s="19"/>
      <c r="J141" s="19"/>
      <c r="K141" s="19"/>
      <c r="L141" s="19"/>
      <c r="M141" s="236"/>
      <c r="O141" s="21"/>
      <c r="P141" s="19"/>
      <c r="Q141" s="19" t="s">
        <v>419</v>
      </c>
      <c r="R141" s="19"/>
      <c r="S141" s="19"/>
      <c r="T141" s="236"/>
      <c r="W141" s="21"/>
      <c r="X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s="77" customFormat="1" hidden="1" x14ac:dyDescent="0.25">
      <c r="A142" s="20"/>
      <c r="B142" s="21"/>
      <c r="D142" s="236"/>
      <c r="E142" s="19"/>
      <c r="F142" s="19"/>
      <c r="G142" s="19"/>
      <c r="H142" s="19"/>
      <c r="I142" s="19"/>
      <c r="J142" s="19"/>
      <c r="K142" s="19"/>
      <c r="L142" s="19"/>
      <c r="M142" s="236"/>
      <c r="N142" s="236" t="s">
        <v>426</v>
      </c>
      <c r="O142" s="19"/>
      <c r="P142" s="21" t="s">
        <v>413</v>
      </c>
      <c r="Q142" s="21"/>
      <c r="R142" s="19">
        <f>'[1]ריכוז תקציבים מעבר לתוכנית 31.8'!$AD$59</f>
        <v>41652000</v>
      </c>
      <c r="S142" s="19"/>
      <c r="T142" s="236"/>
      <c r="W142" s="21"/>
      <c r="X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s="77" customFormat="1" hidden="1" x14ac:dyDescent="0.25">
      <c r="A143" s="20"/>
      <c r="B143" s="21"/>
      <c r="D143" s="236"/>
      <c r="E143" s="19"/>
      <c r="F143" s="19"/>
      <c r="G143" s="19"/>
      <c r="H143" s="19"/>
      <c r="I143" s="19"/>
      <c r="J143" s="19"/>
      <c r="K143" s="19"/>
      <c r="L143" s="19"/>
      <c r="M143" s="236"/>
      <c r="N143" s="236" t="s">
        <v>488</v>
      </c>
      <c r="O143" s="19" t="s">
        <v>529</v>
      </c>
      <c r="P143" s="21"/>
      <c r="Q143" s="21"/>
      <c r="R143" s="19">
        <f>-50000-250000</f>
        <v>-300000</v>
      </c>
      <c r="S143" s="19"/>
      <c r="T143" s="236"/>
      <c r="W143" s="21"/>
      <c r="X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s="77" customFormat="1" hidden="1" x14ac:dyDescent="0.25">
      <c r="A144" s="20"/>
      <c r="B144" s="21"/>
      <c r="D144" s="236"/>
      <c r="E144" s="19"/>
      <c r="F144" s="19"/>
      <c r="G144" s="19"/>
      <c r="H144" s="19"/>
      <c r="I144" s="19"/>
      <c r="J144" s="19"/>
      <c r="K144" s="19"/>
      <c r="L144" s="19"/>
      <c r="M144" s="236"/>
      <c r="N144" s="236" t="s">
        <v>414</v>
      </c>
      <c r="O144" s="19" t="s">
        <v>427</v>
      </c>
      <c r="P144" s="19"/>
      <c r="Q144" s="19">
        <v>800000</v>
      </c>
      <c r="R144" s="21"/>
      <c r="S144" s="19"/>
      <c r="T144" s="236"/>
      <c r="W144" s="21"/>
      <c r="X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s="77" customFormat="1" hidden="1" x14ac:dyDescent="0.25">
      <c r="A145" s="20"/>
      <c r="B145" s="21"/>
      <c r="D145" s="236"/>
      <c r="E145" s="19"/>
      <c r="F145" s="19"/>
      <c r="G145" s="19"/>
      <c r="H145" s="19"/>
      <c r="I145" s="19"/>
      <c r="J145" s="19"/>
      <c r="K145" s="19"/>
      <c r="L145" s="19"/>
      <c r="M145" s="236"/>
      <c r="N145" s="236"/>
      <c r="O145" s="19" t="s">
        <v>428</v>
      </c>
      <c r="P145" s="19"/>
      <c r="Q145" s="19">
        <v>300000</v>
      </c>
      <c r="R145" s="21"/>
      <c r="S145" s="19"/>
      <c r="T145" s="236"/>
      <c r="W145" s="21"/>
      <c r="X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s="77" customFormat="1" hidden="1" x14ac:dyDescent="0.25">
      <c r="A146" s="20"/>
      <c r="B146" s="21"/>
      <c r="D146" s="236"/>
      <c r="E146" s="19"/>
      <c r="F146" s="19"/>
      <c r="G146" s="19"/>
      <c r="H146" s="19"/>
      <c r="I146" s="19"/>
      <c r="J146" s="19"/>
      <c r="K146" s="19"/>
      <c r="L146" s="19"/>
      <c r="M146" s="236"/>
      <c r="N146" s="236"/>
      <c r="O146" s="19" t="s">
        <v>423</v>
      </c>
      <c r="P146" s="19"/>
      <c r="Q146" s="19">
        <v>1200000</v>
      </c>
      <c r="R146" s="21"/>
      <c r="S146" s="19"/>
      <c r="T146" s="236"/>
      <c r="W146" s="21"/>
      <c r="X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s="77" customFormat="1" hidden="1" x14ac:dyDescent="0.25">
      <c r="A147" s="20"/>
      <c r="B147" s="21"/>
      <c r="D147" s="236"/>
      <c r="E147" s="19"/>
      <c r="F147" s="19"/>
      <c r="G147" s="19"/>
      <c r="H147" s="19"/>
      <c r="I147" s="19"/>
      <c r="J147" s="19"/>
      <c r="K147" s="19"/>
      <c r="L147" s="19"/>
      <c r="M147" s="236"/>
      <c r="N147" s="236"/>
      <c r="O147" s="19" t="s">
        <v>429</v>
      </c>
      <c r="P147" s="19"/>
      <c r="Q147" s="19">
        <v>200000</v>
      </c>
      <c r="R147" s="21"/>
      <c r="S147" s="19"/>
      <c r="T147" s="236"/>
      <c r="W147" s="21"/>
      <c r="X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s="77" customFormat="1" hidden="1" x14ac:dyDescent="0.25">
      <c r="A148" s="20"/>
      <c r="B148" s="21"/>
      <c r="D148" s="236"/>
      <c r="E148" s="19"/>
      <c r="F148" s="19"/>
      <c r="G148" s="19"/>
      <c r="H148" s="19"/>
      <c r="I148" s="19"/>
      <c r="J148" s="19"/>
      <c r="K148" s="19"/>
      <c r="L148" s="19"/>
      <c r="M148" s="236"/>
      <c r="N148" s="236"/>
      <c r="O148" s="19"/>
      <c r="P148" s="19"/>
      <c r="Q148" s="19"/>
      <c r="R148" s="19">
        <f>SUM(Q144:Q147)</f>
        <v>2500000</v>
      </c>
      <c r="S148" s="19"/>
      <c r="T148" s="236"/>
      <c r="W148" s="21"/>
      <c r="X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s="77" customFormat="1" hidden="1" x14ac:dyDescent="0.25">
      <c r="A149" s="20"/>
      <c r="B149" s="21"/>
      <c r="D149" s="236"/>
      <c r="E149" s="19"/>
      <c r="F149" s="19"/>
      <c r="G149" s="19"/>
      <c r="H149" s="19"/>
      <c r="I149" s="19"/>
      <c r="J149" s="19"/>
      <c r="K149" s="19"/>
      <c r="L149" s="19"/>
      <c r="M149" s="236"/>
      <c r="N149" s="236"/>
      <c r="O149" s="19" t="s">
        <v>248</v>
      </c>
      <c r="P149" s="19"/>
      <c r="Q149" s="19"/>
      <c r="R149" s="72">
        <f>R142+R143+R148</f>
        <v>43852000</v>
      </c>
      <c r="S149" s="202">
        <f>R122-R149</f>
        <v>0</v>
      </c>
      <c r="T149" s="236"/>
      <c r="W149" s="21"/>
      <c r="X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s="77" customFormat="1" hidden="1" x14ac:dyDescent="0.25">
      <c r="A150" s="20"/>
      <c r="B150" s="21"/>
      <c r="D150" s="236"/>
      <c r="E150" s="19"/>
      <c r="F150" s="19"/>
      <c r="G150" s="19"/>
      <c r="H150" s="19"/>
      <c r="I150" s="19"/>
      <c r="J150" s="19"/>
      <c r="K150" s="19"/>
      <c r="L150" s="19"/>
      <c r="M150" s="236"/>
      <c r="N150" s="236"/>
      <c r="O150" s="19"/>
      <c r="P150" s="19"/>
      <c r="Q150" s="19"/>
      <c r="R150" s="19"/>
      <c r="S150" s="19" t="s">
        <v>520</v>
      </c>
      <c r="T150" s="236" t="s">
        <v>528</v>
      </c>
      <c r="W150" s="21"/>
      <c r="X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s="77" customFormat="1" hidden="1" x14ac:dyDescent="0.25">
      <c r="A151" s="20"/>
      <c r="B151" s="21"/>
      <c r="D151" s="236"/>
      <c r="E151" s="19"/>
      <c r="F151" s="19"/>
      <c r="G151" s="19"/>
      <c r="H151" s="19"/>
      <c r="I151" s="19"/>
      <c r="J151" s="19"/>
      <c r="K151" s="19"/>
      <c r="L151" s="19"/>
      <c r="M151" s="236"/>
      <c r="N151" s="236"/>
      <c r="O151" s="19"/>
      <c r="P151" s="19"/>
      <c r="Q151" s="19"/>
      <c r="R151" s="19"/>
      <c r="S151" s="19" t="s">
        <v>558</v>
      </c>
      <c r="T151" s="236"/>
      <c r="W151" s="21"/>
      <c r="X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s="77" customFormat="1" hidden="1" x14ac:dyDescent="0.25">
      <c r="A152" s="20"/>
      <c r="B152" s="21"/>
      <c r="D152" s="236"/>
      <c r="E152" s="19"/>
      <c r="F152" s="19"/>
      <c r="G152" s="19"/>
      <c r="H152" s="19"/>
      <c r="I152" s="19"/>
      <c r="J152" s="19"/>
      <c r="K152" s="19"/>
      <c r="L152" s="19"/>
      <c r="M152" s="236"/>
      <c r="N152" s="236"/>
      <c r="O152" s="19"/>
      <c r="P152" s="19"/>
      <c r="Q152" s="19"/>
      <c r="R152" s="19"/>
      <c r="S152" s="19"/>
      <c r="T152" s="236"/>
      <c r="W152" s="21"/>
      <c r="X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s="77" customFormat="1" hidden="1" x14ac:dyDescent="0.25">
      <c r="A153" s="20"/>
      <c r="B153" s="21"/>
      <c r="D153" s="236"/>
      <c r="E153" s="19"/>
      <c r="F153" s="19"/>
      <c r="G153" s="19"/>
      <c r="H153" s="19"/>
      <c r="I153" s="19"/>
      <c r="J153" s="19"/>
      <c r="K153" s="19"/>
      <c r="L153" s="19"/>
      <c r="M153" s="236"/>
      <c r="N153" s="236"/>
      <c r="O153" s="19" t="s">
        <v>514</v>
      </c>
      <c r="P153" s="19"/>
      <c r="Q153" s="150">
        <f>'[3]תבל '!$AZ$84+'[3]החברה לפיתוח '!$AZ$57</f>
        <v>2800000</v>
      </c>
      <c r="R153" s="19"/>
      <c r="S153" s="19"/>
      <c r="T153" s="236"/>
      <c r="W153" s="21"/>
      <c r="X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s="77" customFormat="1" hidden="1" x14ac:dyDescent="0.25">
      <c r="A154" s="20"/>
      <c r="B154" s="21"/>
      <c r="D154" s="236"/>
      <c r="E154" s="19"/>
      <c r="F154" s="19"/>
      <c r="G154" s="19"/>
      <c r="H154" s="19"/>
      <c r="I154" s="19"/>
      <c r="J154" s="19"/>
      <c r="K154" s="19"/>
      <c r="L154" s="19"/>
      <c r="M154" s="236"/>
      <c r="N154" s="236"/>
      <c r="O154" s="19" t="s">
        <v>515</v>
      </c>
      <c r="P154" s="19"/>
      <c r="Q154" s="198">
        <f>'[5]הנדסה '!$BG$209+'[5]החברה לפיתוח '!$BF$57+'[5]תבל '!$BC$85</f>
        <v>4901120</v>
      </c>
      <c r="R154" s="19"/>
      <c r="S154" s="19"/>
      <c r="T154" s="236"/>
      <c r="W154" s="21"/>
      <c r="X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1:39" s="77" customFormat="1" hidden="1" x14ac:dyDescent="0.25">
      <c r="A155" s="20"/>
      <c r="B155" s="21"/>
      <c r="D155" s="236"/>
      <c r="E155" s="19"/>
      <c r="F155" s="19"/>
      <c r="G155" s="19"/>
      <c r="H155" s="19"/>
      <c r="I155" s="19"/>
      <c r="J155" s="19"/>
      <c r="K155" s="19"/>
      <c r="L155" s="19"/>
      <c r="M155" s="236"/>
      <c r="N155" s="236"/>
      <c r="O155" s="19" t="s">
        <v>519</v>
      </c>
      <c r="P155" s="19"/>
      <c r="Q155" s="19">
        <v>500000</v>
      </c>
      <c r="R155" s="19"/>
      <c r="S155" s="19"/>
      <c r="T155" s="236"/>
      <c r="W155" s="21"/>
      <c r="X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1:39" s="19" customFormat="1" hidden="1" x14ac:dyDescent="0.25">
      <c r="A156" s="20"/>
      <c r="B156" s="21"/>
      <c r="C156" s="77"/>
      <c r="D156" s="236"/>
      <c r="M156" s="236"/>
      <c r="N156" s="236"/>
      <c r="Q156" s="19">
        <f>SUM(Q153:Q155)</f>
        <v>8201120</v>
      </c>
      <c r="T156" s="236"/>
      <c r="U156" s="77"/>
      <c r="V156" s="77"/>
      <c r="W156" s="21"/>
      <c r="X156" s="21"/>
      <c r="Y156" s="77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1:39" s="19" customFormat="1" hidden="1" x14ac:dyDescent="0.25">
      <c r="A157" s="20"/>
      <c r="B157" s="21"/>
      <c r="C157" s="77"/>
      <c r="D157" s="236"/>
      <c r="M157" s="236"/>
      <c r="N157" s="236"/>
      <c r="O157" s="19" t="s">
        <v>518</v>
      </c>
      <c r="R157" s="152">
        <v>4700000</v>
      </c>
      <c r="T157" s="236"/>
      <c r="U157" s="77"/>
      <c r="V157" s="77"/>
      <c r="W157" s="21"/>
      <c r="X157" s="21"/>
      <c r="Y157" s="77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1:39" s="19" customFormat="1" hidden="1" x14ac:dyDescent="0.25">
      <c r="A158" s="20"/>
      <c r="B158" s="21"/>
      <c r="C158" s="77"/>
      <c r="D158" s="236"/>
      <c r="M158" s="236"/>
      <c r="N158" s="236"/>
      <c r="O158" s="19" t="s">
        <v>517</v>
      </c>
      <c r="R158" s="198">
        <v>42852000</v>
      </c>
      <c r="T158" s="236"/>
      <c r="U158" s="77"/>
      <c r="V158" s="77"/>
      <c r="W158" s="21"/>
      <c r="X158" s="21"/>
      <c r="Y158" s="77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60" spans="1:39" s="19" customFormat="1" x14ac:dyDescent="0.25">
      <c r="A160" s="20"/>
      <c r="B160" s="21"/>
      <c r="C160" s="77"/>
      <c r="D160" s="236"/>
      <c r="M160" s="236"/>
      <c r="N160" s="236"/>
      <c r="R160" s="19">
        <f>SUM(R157:R159)</f>
        <v>47552000</v>
      </c>
      <c r="T160" s="236"/>
      <c r="U160" s="77"/>
      <c r="V160" s="77"/>
      <c r="W160" s="21"/>
      <c r="X160" s="21"/>
      <c r="Y160" s="77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</sheetData>
  <sheetProtection formatCells="0" formatColumns="0" formatRows="0" insertColumns="0" insertRows="0" insertHyperlinks="0" deleteColumns="0" deleteRows="0" sort="0" autoFilter="0" pivotTables="0"/>
  <sortState ref="A7:AM109">
    <sortCondition ref="Z7:Z109"/>
  </sortState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showZeros="0" rightToLeft="1" zoomScaleNormal="100" workbookViewId="0">
      <pane xSplit="3" ySplit="5" topLeftCell="D12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5.6640625" style="80" customWidth="1"/>
    <col min="4" max="4" width="11.33203125" style="105" customWidth="1"/>
    <col min="5" max="5" width="11" style="105" customWidth="1"/>
    <col min="6" max="6" width="11.33203125" style="105" customWidth="1"/>
    <col min="7" max="10" width="12.6640625" style="105" hidden="1" customWidth="1"/>
    <col min="11" max="11" width="11.33203125" style="105" hidden="1" customWidth="1"/>
    <col min="12" max="12" width="10.88671875" style="105" customWidth="1"/>
    <col min="13" max="13" width="11.109375" style="105" bestFit="1" customWidth="1"/>
    <col min="14" max="14" width="9.88671875" style="105" customWidth="1"/>
    <col min="15" max="15" width="11.5546875" style="105" customWidth="1"/>
    <col min="16" max="17" width="11.109375" style="105" hidden="1" customWidth="1"/>
    <col min="18" max="19" width="12" style="105" hidden="1" customWidth="1"/>
    <col min="20" max="20" width="8.88671875" style="105" customWidth="1"/>
    <col min="21" max="21" width="11.33203125" style="211" customWidth="1"/>
    <col min="22" max="22" width="10.109375" style="80" bestFit="1" customWidth="1"/>
    <col min="23" max="23" width="9.33203125" style="80" customWidth="1"/>
    <col min="24" max="24" width="4.6640625" style="80" customWidth="1"/>
    <col min="25" max="25" width="9.109375" style="80" customWidth="1"/>
    <col min="26" max="26" width="7.88671875" style="80" customWidth="1"/>
    <col min="27" max="27" width="10.109375" style="80" customWidth="1"/>
    <col min="28" max="16384" width="9.109375" style="80"/>
  </cols>
  <sheetData>
    <row r="1" spans="1:39" x14ac:dyDescent="0.25">
      <c r="J1" s="105">
        <f>27230000-G51</f>
        <v>23930000</v>
      </c>
    </row>
    <row r="2" spans="1:39" s="79" customFormat="1" ht="18" x14ac:dyDescent="0.35">
      <c r="A2" s="451" t="s">
        <v>298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3" spans="1:39" ht="18" x14ac:dyDescent="0.35">
      <c r="A3" s="451" t="s">
        <v>266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</row>
    <row r="5" spans="1:39" s="107" customFormat="1" ht="69" x14ac:dyDescent="0.25">
      <c r="A5" s="106" t="s">
        <v>0</v>
      </c>
      <c r="B5" s="106" t="s">
        <v>1</v>
      </c>
      <c r="C5" s="106" t="s">
        <v>2</v>
      </c>
      <c r="D5" s="106" t="s">
        <v>3</v>
      </c>
      <c r="E5" s="106" t="s">
        <v>4</v>
      </c>
      <c r="F5" s="106" t="s">
        <v>5</v>
      </c>
      <c r="G5" s="106" t="s">
        <v>6</v>
      </c>
      <c r="H5" s="106" t="s">
        <v>7</v>
      </c>
      <c r="I5" s="106" t="s">
        <v>8</v>
      </c>
      <c r="J5" s="106" t="s">
        <v>9</v>
      </c>
      <c r="K5" s="106" t="s">
        <v>10</v>
      </c>
      <c r="L5" s="106" t="s">
        <v>11</v>
      </c>
      <c r="M5" s="82" t="s">
        <v>492</v>
      </c>
      <c r="N5" s="106" t="s">
        <v>299</v>
      </c>
      <c r="O5" s="106" t="s">
        <v>300</v>
      </c>
      <c r="P5" s="106" t="s">
        <v>12</v>
      </c>
      <c r="Q5" s="106" t="s">
        <v>301</v>
      </c>
      <c r="R5" s="106" t="s">
        <v>302</v>
      </c>
      <c r="S5" s="106" t="s">
        <v>303</v>
      </c>
      <c r="T5" s="106" t="s">
        <v>304</v>
      </c>
      <c r="U5" s="220" t="s">
        <v>305</v>
      </c>
      <c r="V5" s="106" t="s">
        <v>13</v>
      </c>
      <c r="W5" s="106" t="s">
        <v>14</v>
      </c>
      <c r="X5" s="106" t="s">
        <v>15</v>
      </c>
      <c r="Y5" s="106" t="s">
        <v>223</v>
      </c>
      <c r="Z5" s="106" t="s">
        <v>16</v>
      </c>
    </row>
    <row r="6" spans="1:39" s="87" customFormat="1" ht="18" customHeight="1" x14ac:dyDescent="0.25">
      <c r="A6" s="84"/>
      <c r="B6" s="84"/>
      <c r="C6" s="84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94"/>
      <c r="V6" s="88"/>
      <c r="W6" s="88"/>
      <c r="X6" s="88"/>
      <c r="Y6" s="84"/>
      <c r="Z6" s="84"/>
    </row>
    <row r="7" spans="1:39" s="87" customFormat="1" ht="15" customHeight="1" x14ac:dyDescent="0.3">
      <c r="A7" s="84">
        <f>A6+1</f>
        <v>1</v>
      </c>
      <c r="B7" s="84">
        <v>1514</v>
      </c>
      <c r="C7" s="33" t="s">
        <v>122</v>
      </c>
      <c r="D7" s="88">
        <v>850000</v>
      </c>
      <c r="E7" s="88">
        <v>850000</v>
      </c>
      <c r="F7" s="88">
        <f>D7-E7</f>
        <v>0</v>
      </c>
      <c r="G7" s="88">
        <v>750000</v>
      </c>
      <c r="H7" s="88">
        <v>691313.61</v>
      </c>
      <c r="I7" s="88">
        <v>52650</v>
      </c>
      <c r="J7" s="88"/>
      <c r="K7" s="88">
        <f>SUM(I7:J7)</f>
        <v>52650</v>
      </c>
      <c r="L7" s="88">
        <f>H7+K7</f>
        <v>743963.61</v>
      </c>
      <c r="M7" s="88">
        <f>P7+S7</f>
        <v>6036.390000000014</v>
      </c>
      <c r="N7" s="88"/>
      <c r="O7" s="88">
        <f>D7-L7-M7-N7</f>
        <v>100000</v>
      </c>
      <c r="P7" s="88">
        <f>G7-L7</f>
        <v>6036.390000000014</v>
      </c>
      <c r="Q7" s="88"/>
      <c r="R7" s="88"/>
      <c r="S7" s="88">
        <f>SUM(Q7:R7)</f>
        <v>0</v>
      </c>
      <c r="T7" s="88">
        <f>P7-M7+S7</f>
        <v>0</v>
      </c>
      <c r="U7" s="94">
        <f>N7-T7</f>
        <v>0</v>
      </c>
      <c r="V7" s="88"/>
      <c r="W7" s="88">
        <f>U7-V7-X7-Y7</f>
        <v>0</v>
      </c>
      <c r="X7" s="88"/>
      <c r="Y7" s="84"/>
      <c r="Z7" s="84">
        <v>724000</v>
      </c>
    </row>
    <row r="8" spans="1:39" s="87" customFormat="1" x14ac:dyDescent="0.25">
      <c r="A8" s="84">
        <f>A7+1</f>
        <v>2</v>
      </c>
      <c r="B8" s="84">
        <v>1942</v>
      </c>
      <c r="C8" s="84" t="s">
        <v>445</v>
      </c>
      <c r="D8" s="88">
        <v>572000</v>
      </c>
      <c r="E8" s="88">
        <v>572000</v>
      </c>
      <c r="F8" s="111">
        <f>D8-E8</f>
        <v>0</v>
      </c>
      <c r="G8" s="88">
        <v>0</v>
      </c>
      <c r="H8" s="88">
        <v>0</v>
      </c>
      <c r="I8" s="88"/>
      <c r="J8" s="88"/>
      <c r="K8" s="88">
        <f>SUM(I8:J8)</f>
        <v>0</v>
      </c>
      <c r="L8" s="88">
        <f>H8+K8</f>
        <v>0</v>
      </c>
      <c r="M8" s="88">
        <f>P8+S8</f>
        <v>572000</v>
      </c>
      <c r="N8" s="88"/>
      <c r="O8" s="88">
        <f>D8-L8-M8-N8</f>
        <v>0</v>
      </c>
      <c r="P8" s="88">
        <f>G8-L8</f>
        <v>0</v>
      </c>
      <c r="Q8" s="88"/>
      <c r="R8" s="88">
        <v>572000</v>
      </c>
      <c r="S8" s="88">
        <f>SUM(Q8:R8)</f>
        <v>572000</v>
      </c>
      <c r="T8" s="88">
        <f>P8-M8+S8</f>
        <v>0</v>
      </c>
      <c r="U8" s="94">
        <f>N8-T8</f>
        <v>0</v>
      </c>
      <c r="V8" s="88"/>
      <c r="W8" s="88">
        <f>U8-V8-X8-Y8</f>
        <v>0</v>
      </c>
      <c r="X8" s="88"/>
      <c r="Y8" s="84"/>
      <c r="Z8" s="84">
        <v>724000</v>
      </c>
    </row>
    <row r="9" spans="1:39" s="120" customFormat="1" ht="15.6" x14ac:dyDescent="0.25">
      <c r="A9" s="28"/>
      <c r="B9" s="28"/>
      <c r="C9" s="28">
        <v>72</v>
      </c>
      <c r="D9" s="101">
        <f>SUM(D7:D8)</f>
        <v>1422000</v>
      </c>
      <c r="E9" s="101">
        <f t="shared" ref="E9:Y9" si="0">SUM(E7:E8)</f>
        <v>1422000</v>
      </c>
      <c r="F9" s="101">
        <f t="shared" si="0"/>
        <v>0</v>
      </c>
      <c r="G9" s="101">
        <f t="shared" si="0"/>
        <v>750000</v>
      </c>
      <c r="H9" s="101">
        <f t="shared" si="0"/>
        <v>691313.61</v>
      </c>
      <c r="I9" s="101">
        <f t="shared" si="0"/>
        <v>52650</v>
      </c>
      <c r="J9" s="101">
        <f t="shared" si="0"/>
        <v>0</v>
      </c>
      <c r="K9" s="101">
        <f t="shared" si="0"/>
        <v>52650</v>
      </c>
      <c r="L9" s="101">
        <f t="shared" si="0"/>
        <v>743963.61</v>
      </c>
      <c r="M9" s="101">
        <f t="shared" si="0"/>
        <v>578036.39</v>
      </c>
      <c r="N9" s="101">
        <f t="shared" si="0"/>
        <v>0</v>
      </c>
      <c r="O9" s="101">
        <f t="shared" si="0"/>
        <v>100000</v>
      </c>
      <c r="P9" s="101">
        <f t="shared" si="0"/>
        <v>6036.390000000014</v>
      </c>
      <c r="Q9" s="101">
        <f t="shared" si="0"/>
        <v>0</v>
      </c>
      <c r="R9" s="101">
        <f t="shared" si="0"/>
        <v>572000</v>
      </c>
      <c r="S9" s="101">
        <f t="shared" si="0"/>
        <v>572000</v>
      </c>
      <c r="T9" s="101">
        <f t="shared" si="0"/>
        <v>0</v>
      </c>
      <c r="U9" s="101">
        <f t="shared" si="0"/>
        <v>0</v>
      </c>
      <c r="V9" s="101">
        <f t="shared" si="0"/>
        <v>0</v>
      </c>
      <c r="W9" s="101">
        <f t="shared" si="0"/>
        <v>0</v>
      </c>
      <c r="X9" s="101">
        <f t="shared" si="0"/>
        <v>0</v>
      </c>
      <c r="Y9" s="101">
        <f t="shared" si="0"/>
        <v>0</v>
      </c>
      <c r="Z9" s="28"/>
    </row>
    <row r="10" spans="1:39" s="87" customFormat="1" x14ac:dyDescent="0.25">
      <c r="A10" s="84"/>
      <c r="B10" s="84"/>
      <c r="C10" s="84"/>
      <c r="D10" s="88"/>
      <c r="E10" s="88"/>
      <c r="F10" s="111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396"/>
      <c r="S10" s="88"/>
      <c r="T10" s="88"/>
      <c r="U10" s="94"/>
      <c r="V10" s="88"/>
      <c r="W10" s="88"/>
      <c r="X10" s="88"/>
      <c r="Y10" s="84"/>
      <c r="Z10" s="84"/>
    </row>
    <row r="11" spans="1:39" s="87" customFormat="1" ht="15" customHeight="1" x14ac:dyDescent="0.25">
      <c r="A11" s="84">
        <f>A8+1</f>
        <v>3</v>
      </c>
      <c r="B11" s="84">
        <v>1247</v>
      </c>
      <c r="C11" s="84" t="s">
        <v>104</v>
      </c>
      <c r="D11" s="88">
        <v>9500000</v>
      </c>
      <c r="E11" s="88">
        <v>9500000</v>
      </c>
      <c r="F11" s="88">
        <f>D11-E11</f>
        <v>0</v>
      </c>
      <c r="G11" s="88">
        <v>7900000</v>
      </c>
      <c r="H11" s="88">
        <v>7483033</v>
      </c>
      <c r="I11" s="88">
        <v>338487</v>
      </c>
      <c r="J11" s="88">
        <v>77280.17</v>
      </c>
      <c r="K11" s="88">
        <f>SUM(I11:J11)</f>
        <v>415767.17</v>
      </c>
      <c r="L11" s="88">
        <f>H11+K11</f>
        <v>7898800.1699999999</v>
      </c>
      <c r="M11" s="88">
        <f>P11+S11</f>
        <v>351199.83000000007</v>
      </c>
      <c r="N11" s="88">
        <v>200000</v>
      </c>
      <c r="O11" s="88">
        <f>D11-L11-M11-N11</f>
        <v>1050000</v>
      </c>
      <c r="P11" s="88">
        <f>G11-L11</f>
        <v>1199.8300000000745</v>
      </c>
      <c r="Q11" s="151">
        <v>350000</v>
      </c>
      <c r="R11" s="396"/>
      <c r="S11" s="88">
        <f>SUM(Q11:R11)</f>
        <v>350000</v>
      </c>
      <c r="T11" s="88">
        <f>P11-M11+S11</f>
        <v>0</v>
      </c>
      <c r="U11" s="94">
        <f>N11-T11</f>
        <v>200000</v>
      </c>
      <c r="V11" s="88">
        <v>200000</v>
      </c>
      <c r="W11" s="88">
        <f>U11-V11-X11-Y11</f>
        <v>0</v>
      </c>
      <c r="X11" s="88"/>
      <c r="Y11" s="84"/>
      <c r="Z11" s="84">
        <v>732000</v>
      </c>
    </row>
    <row r="12" spans="1:39" s="120" customFormat="1" ht="15" customHeight="1" x14ac:dyDescent="0.25">
      <c r="A12" s="28"/>
      <c r="B12" s="28"/>
      <c r="C12" s="28">
        <v>73</v>
      </c>
      <c r="D12" s="101">
        <f>SUM(D11)</f>
        <v>9500000</v>
      </c>
      <c r="E12" s="101">
        <f t="shared" ref="E12:Y12" si="1">SUM(E11)</f>
        <v>9500000</v>
      </c>
      <c r="F12" s="101">
        <f t="shared" si="1"/>
        <v>0</v>
      </c>
      <c r="G12" s="101">
        <f t="shared" si="1"/>
        <v>7900000</v>
      </c>
      <c r="H12" s="101">
        <f t="shared" si="1"/>
        <v>7483033</v>
      </c>
      <c r="I12" s="101">
        <f t="shared" si="1"/>
        <v>338487</v>
      </c>
      <c r="J12" s="101">
        <f t="shared" si="1"/>
        <v>77280.17</v>
      </c>
      <c r="K12" s="101">
        <f t="shared" si="1"/>
        <v>415767.17</v>
      </c>
      <c r="L12" s="101">
        <f t="shared" si="1"/>
        <v>7898800.1699999999</v>
      </c>
      <c r="M12" s="101">
        <f t="shared" si="1"/>
        <v>351199.83000000007</v>
      </c>
      <c r="N12" s="101">
        <f t="shared" si="1"/>
        <v>200000</v>
      </c>
      <c r="O12" s="101">
        <f t="shared" si="1"/>
        <v>1050000</v>
      </c>
      <c r="P12" s="101">
        <f t="shared" si="1"/>
        <v>1199.8300000000745</v>
      </c>
      <c r="Q12" s="101">
        <f t="shared" si="1"/>
        <v>350000</v>
      </c>
      <c r="R12" s="101">
        <f t="shared" si="1"/>
        <v>0</v>
      </c>
      <c r="S12" s="101">
        <f t="shared" si="1"/>
        <v>350000</v>
      </c>
      <c r="T12" s="101">
        <f t="shared" si="1"/>
        <v>0</v>
      </c>
      <c r="U12" s="101">
        <f t="shared" si="1"/>
        <v>200000</v>
      </c>
      <c r="V12" s="101">
        <f t="shared" si="1"/>
        <v>200000</v>
      </c>
      <c r="W12" s="101">
        <f t="shared" si="1"/>
        <v>0</v>
      </c>
      <c r="X12" s="101">
        <f t="shared" si="1"/>
        <v>0</v>
      </c>
      <c r="Y12" s="101">
        <f t="shared" si="1"/>
        <v>0</v>
      </c>
      <c r="Z12" s="28"/>
    </row>
    <row r="13" spans="1:39" s="87" customFormat="1" ht="15" customHeight="1" x14ac:dyDescent="0.25">
      <c r="A13" s="84"/>
      <c r="B13" s="84"/>
      <c r="C13" s="84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51"/>
      <c r="R13" s="396"/>
      <c r="S13" s="88"/>
      <c r="T13" s="88"/>
      <c r="U13" s="94"/>
      <c r="V13" s="88"/>
      <c r="W13" s="88"/>
      <c r="X13" s="88"/>
      <c r="Y13" s="84"/>
      <c r="Z13" s="84"/>
    </row>
    <row r="14" spans="1:39" s="87" customFormat="1" x14ac:dyDescent="0.25">
      <c r="A14" s="84">
        <f>A11+1</f>
        <v>4</v>
      </c>
      <c r="B14" s="84">
        <v>1485</v>
      </c>
      <c r="C14" s="84" t="s">
        <v>119</v>
      </c>
      <c r="D14" s="88">
        <f>2200000-800000</f>
        <v>1400000</v>
      </c>
      <c r="E14" s="88">
        <v>2200000</v>
      </c>
      <c r="F14" s="88">
        <f t="shared" ref="F14:F25" si="2">D14-E14</f>
        <v>-800000</v>
      </c>
      <c r="G14" s="88">
        <v>1400000</v>
      </c>
      <c r="H14" s="88">
        <v>1218418.8799999999</v>
      </c>
      <c r="I14" s="88"/>
      <c r="J14" s="88"/>
      <c r="K14" s="88">
        <f t="shared" ref="K14:K25" si="3">SUM(I14:J14)</f>
        <v>0</v>
      </c>
      <c r="L14" s="88">
        <f t="shared" ref="L14:L25" si="4">H14+K14</f>
        <v>1218418.8799999999</v>
      </c>
      <c r="M14" s="88">
        <f t="shared" ref="M14:M25" si="5">P14+S14</f>
        <v>181581.12000000011</v>
      </c>
      <c r="N14" s="88"/>
      <c r="O14" s="88">
        <f t="shared" ref="O14:O25" si="6">D14-L14-M14-N14</f>
        <v>0</v>
      </c>
      <c r="P14" s="88">
        <f t="shared" ref="P14:P25" si="7">G14-L14</f>
        <v>181581.12000000011</v>
      </c>
      <c r="Q14" s="88"/>
      <c r="R14" s="88"/>
      <c r="S14" s="88">
        <f t="shared" ref="S14:S19" si="8">SUM(Q14:R14)</f>
        <v>0</v>
      </c>
      <c r="T14" s="88">
        <f t="shared" ref="T14:T25" si="9">P14-M14+S14</f>
        <v>0</v>
      </c>
      <c r="U14" s="94">
        <f t="shared" ref="U14:U25" si="10">N14-T14</f>
        <v>0</v>
      </c>
      <c r="V14" s="88"/>
      <c r="W14" s="88">
        <f t="shared" ref="W14:W25" si="11">U14-V14-X14-Y14</f>
        <v>0</v>
      </c>
      <c r="X14" s="88"/>
      <c r="Y14" s="84"/>
      <c r="Z14" s="84">
        <v>742000</v>
      </c>
    </row>
    <row r="15" spans="1:39" s="95" customFormat="1" x14ac:dyDescent="0.25">
      <c r="A15" s="84">
        <f>A14+1</f>
        <v>5</v>
      </c>
      <c r="B15" s="84">
        <v>1848</v>
      </c>
      <c r="C15" s="93" t="s">
        <v>343</v>
      </c>
      <c r="D15" s="94">
        <f>1500000-900000-100000</f>
        <v>500000</v>
      </c>
      <c r="E15" s="88">
        <v>500000</v>
      </c>
      <c r="F15" s="88">
        <f t="shared" si="2"/>
        <v>0</v>
      </c>
      <c r="G15" s="88">
        <v>100000</v>
      </c>
      <c r="H15" s="88">
        <v>0</v>
      </c>
      <c r="I15" s="88">
        <v>18160</v>
      </c>
      <c r="J15" s="88"/>
      <c r="K15" s="88">
        <f t="shared" si="3"/>
        <v>18160</v>
      </c>
      <c r="L15" s="88">
        <f t="shared" si="4"/>
        <v>18160</v>
      </c>
      <c r="M15" s="88">
        <f t="shared" si="5"/>
        <v>81840</v>
      </c>
      <c r="N15" s="88">
        <v>200000</v>
      </c>
      <c r="O15" s="88">
        <f t="shared" si="6"/>
        <v>200000</v>
      </c>
      <c r="P15" s="88">
        <f t="shared" si="7"/>
        <v>81840</v>
      </c>
      <c r="Q15" s="88"/>
      <c r="R15" s="88"/>
      <c r="S15" s="88">
        <f t="shared" si="8"/>
        <v>0</v>
      </c>
      <c r="T15" s="88">
        <f t="shared" si="9"/>
        <v>0</v>
      </c>
      <c r="U15" s="94">
        <f t="shared" si="10"/>
        <v>200000</v>
      </c>
      <c r="V15" s="88"/>
      <c r="W15" s="88">
        <f t="shared" si="11"/>
        <v>200000</v>
      </c>
      <c r="X15" s="88"/>
      <c r="Y15" s="84"/>
      <c r="Z15" s="84">
        <v>742000</v>
      </c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pans="1:39" s="87" customFormat="1" x14ac:dyDescent="0.25">
      <c r="A16" s="84">
        <f>A15+1</f>
        <v>6</v>
      </c>
      <c r="B16" s="84">
        <v>1891</v>
      </c>
      <c r="C16" s="84" t="s">
        <v>352</v>
      </c>
      <c r="D16" s="88">
        <v>110000</v>
      </c>
      <c r="E16" s="88">
        <v>110000</v>
      </c>
      <c r="F16" s="111">
        <f t="shared" si="2"/>
        <v>0</v>
      </c>
      <c r="G16" s="88">
        <v>110000</v>
      </c>
      <c r="H16" s="88">
        <v>0</v>
      </c>
      <c r="I16" s="88">
        <v>72948.990000000005</v>
      </c>
      <c r="J16" s="88"/>
      <c r="K16" s="88">
        <f t="shared" si="3"/>
        <v>72948.990000000005</v>
      </c>
      <c r="L16" s="88">
        <f t="shared" si="4"/>
        <v>72948.990000000005</v>
      </c>
      <c r="M16" s="88">
        <f t="shared" si="5"/>
        <v>37051.009999999995</v>
      </c>
      <c r="N16" s="88"/>
      <c r="O16" s="88">
        <f t="shared" si="6"/>
        <v>0</v>
      </c>
      <c r="P16" s="88">
        <f t="shared" si="7"/>
        <v>37051.009999999995</v>
      </c>
      <c r="Q16" s="88"/>
      <c r="R16" s="88"/>
      <c r="S16" s="88">
        <f t="shared" si="8"/>
        <v>0</v>
      </c>
      <c r="T16" s="88">
        <f t="shared" si="9"/>
        <v>0</v>
      </c>
      <c r="U16" s="94">
        <f t="shared" si="10"/>
        <v>0</v>
      </c>
      <c r="V16" s="88"/>
      <c r="W16" s="88">
        <f t="shared" si="11"/>
        <v>0</v>
      </c>
      <c r="X16" s="88"/>
      <c r="Y16" s="84"/>
      <c r="Z16" s="84">
        <v>742000</v>
      </c>
    </row>
    <row r="17" spans="1:39" s="87" customFormat="1" x14ac:dyDescent="0.25">
      <c r="A17" s="84">
        <f t="shared" ref="A17:A25" si="12">A16+1</f>
        <v>7</v>
      </c>
      <c r="B17" s="84">
        <v>1481</v>
      </c>
      <c r="C17" s="84" t="s">
        <v>505</v>
      </c>
      <c r="D17" s="88">
        <f>17250000-9270000-1000000</f>
        <v>6980000</v>
      </c>
      <c r="E17" s="88">
        <v>17250000</v>
      </c>
      <c r="F17" s="88">
        <f t="shared" si="2"/>
        <v>-10270000</v>
      </c>
      <c r="G17" s="88">
        <f>5080000+900000</f>
        <v>5980000</v>
      </c>
      <c r="H17" s="88">
        <v>4160444.17</v>
      </c>
      <c r="I17" s="88">
        <v>918233.53</v>
      </c>
      <c r="J17" s="88"/>
      <c r="K17" s="88">
        <f t="shared" si="3"/>
        <v>918233.53</v>
      </c>
      <c r="L17" s="88">
        <f t="shared" si="4"/>
        <v>5078677.7</v>
      </c>
      <c r="M17" s="88">
        <f t="shared" si="5"/>
        <v>1901322.2999999998</v>
      </c>
      <c r="N17" s="88"/>
      <c r="O17" s="88">
        <f t="shared" si="6"/>
        <v>0</v>
      </c>
      <c r="P17" s="88">
        <f t="shared" si="7"/>
        <v>901322.29999999981</v>
      </c>
      <c r="Q17" s="199">
        <f>1900000-900000</f>
        <v>1000000</v>
      </c>
      <c r="R17" s="88"/>
      <c r="S17" s="88">
        <f t="shared" si="8"/>
        <v>1000000</v>
      </c>
      <c r="T17" s="88">
        <f t="shared" si="9"/>
        <v>0</v>
      </c>
      <c r="U17" s="94">
        <f t="shared" si="10"/>
        <v>0</v>
      </c>
      <c r="V17" s="88"/>
      <c r="W17" s="88">
        <f t="shared" si="11"/>
        <v>0</v>
      </c>
      <c r="X17" s="88"/>
      <c r="Y17" s="84"/>
      <c r="Z17" s="84">
        <v>743000</v>
      </c>
    </row>
    <row r="18" spans="1:39" s="87" customFormat="1" x14ac:dyDescent="0.25">
      <c r="A18" s="84">
        <f t="shared" si="12"/>
        <v>8</v>
      </c>
      <c r="B18" s="84">
        <v>1698</v>
      </c>
      <c r="C18" s="84" t="s">
        <v>128</v>
      </c>
      <c r="D18" s="88">
        <v>400000</v>
      </c>
      <c r="E18" s="88">
        <v>400000</v>
      </c>
      <c r="F18" s="88">
        <f t="shared" si="2"/>
        <v>0</v>
      </c>
      <c r="G18" s="88">
        <v>400000</v>
      </c>
      <c r="H18" s="88">
        <v>187137</v>
      </c>
      <c r="I18" s="88">
        <v>212832</v>
      </c>
      <c r="J18" s="88"/>
      <c r="K18" s="88">
        <f t="shared" si="3"/>
        <v>212832</v>
      </c>
      <c r="L18" s="88">
        <f t="shared" si="4"/>
        <v>399969</v>
      </c>
      <c r="M18" s="88">
        <f t="shared" si="5"/>
        <v>31</v>
      </c>
      <c r="N18" s="88"/>
      <c r="O18" s="88">
        <f t="shared" si="6"/>
        <v>0</v>
      </c>
      <c r="P18" s="88">
        <f t="shared" si="7"/>
        <v>31</v>
      </c>
      <c r="Q18" s="88"/>
      <c r="R18" s="88"/>
      <c r="S18" s="88">
        <f t="shared" si="8"/>
        <v>0</v>
      </c>
      <c r="T18" s="88">
        <f t="shared" si="9"/>
        <v>0</v>
      </c>
      <c r="U18" s="94">
        <f t="shared" si="10"/>
        <v>0</v>
      </c>
      <c r="V18" s="88"/>
      <c r="W18" s="88">
        <f t="shared" si="11"/>
        <v>0</v>
      </c>
      <c r="X18" s="88"/>
      <c r="Y18" s="84"/>
      <c r="Z18" s="84">
        <v>743000</v>
      </c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</row>
    <row r="19" spans="1:39" s="87" customFormat="1" x14ac:dyDescent="0.25">
      <c r="A19" s="84">
        <f t="shared" si="12"/>
        <v>9</v>
      </c>
      <c r="B19" s="84">
        <v>1713</v>
      </c>
      <c r="C19" s="84" t="s">
        <v>132</v>
      </c>
      <c r="D19" s="88">
        <v>300000</v>
      </c>
      <c r="E19" s="88">
        <v>300000</v>
      </c>
      <c r="F19" s="88">
        <f t="shared" si="2"/>
        <v>0</v>
      </c>
      <c r="G19" s="88">
        <v>300000</v>
      </c>
      <c r="H19" s="88">
        <v>253550.3</v>
      </c>
      <c r="I19" s="88">
        <v>46449</v>
      </c>
      <c r="J19" s="88"/>
      <c r="K19" s="88">
        <f t="shared" si="3"/>
        <v>46449</v>
      </c>
      <c r="L19" s="88">
        <f t="shared" si="4"/>
        <v>299999.3</v>
      </c>
      <c r="M19" s="88">
        <f t="shared" si="5"/>
        <v>0.70000000001164153</v>
      </c>
      <c r="N19" s="88"/>
      <c r="O19" s="88">
        <f t="shared" si="6"/>
        <v>0</v>
      </c>
      <c r="P19" s="88">
        <f t="shared" si="7"/>
        <v>0.70000000001164153</v>
      </c>
      <c r="Q19" s="88"/>
      <c r="R19" s="88"/>
      <c r="S19" s="88">
        <f t="shared" si="8"/>
        <v>0</v>
      </c>
      <c r="T19" s="88">
        <f t="shared" si="9"/>
        <v>0</v>
      </c>
      <c r="U19" s="94">
        <f t="shared" si="10"/>
        <v>0</v>
      </c>
      <c r="V19" s="88"/>
      <c r="W19" s="88">
        <f t="shared" si="11"/>
        <v>0</v>
      </c>
      <c r="X19" s="88"/>
      <c r="Y19" s="84"/>
      <c r="Z19" s="84">
        <v>743000</v>
      </c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</row>
    <row r="20" spans="1:39" s="87" customFormat="1" ht="27.6" x14ac:dyDescent="0.25">
      <c r="A20" s="84">
        <f t="shared" si="12"/>
        <v>10</v>
      </c>
      <c r="B20" s="84">
        <v>1849</v>
      </c>
      <c r="C20" s="93" t="s">
        <v>723</v>
      </c>
      <c r="D20" s="94">
        <v>1400000</v>
      </c>
      <c r="E20" s="88">
        <v>1400000</v>
      </c>
      <c r="F20" s="88">
        <f t="shared" si="2"/>
        <v>0</v>
      </c>
      <c r="G20" s="88">
        <v>500000</v>
      </c>
      <c r="H20" s="88">
        <v>81735.710000000006</v>
      </c>
      <c r="I20" s="88"/>
      <c r="J20" s="88"/>
      <c r="K20" s="88">
        <f t="shared" si="3"/>
        <v>0</v>
      </c>
      <c r="L20" s="88">
        <f t="shared" si="4"/>
        <v>81735.710000000006</v>
      </c>
      <c r="M20" s="88">
        <f t="shared" si="5"/>
        <v>418264.29</v>
      </c>
      <c r="N20" s="88">
        <f>900000-500000</f>
        <v>400000</v>
      </c>
      <c r="O20" s="88">
        <f t="shared" si="6"/>
        <v>500000</v>
      </c>
      <c r="P20" s="88">
        <f t="shared" si="7"/>
        <v>418264.29</v>
      </c>
      <c r="Q20" s="88"/>
      <c r="R20" s="88"/>
      <c r="S20" s="88">
        <v>0</v>
      </c>
      <c r="T20" s="88">
        <f t="shared" si="9"/>
        <v>0</v>
      </c>
      <c r="U20" s="94">
        <f t="shared" si="10"/>
        <v>400000</v>
      </c>
      <c r="V20" s="88">
        <v>400000</v>
      </c>
      <c r="W20" s="88">
        <f t="shared" si="11"/>
        <v>0</v>
      </c>
      <c r="X20" s="88"/>
      <c r="Y20" s="84"/>
      <c r="Z20" s="84">
        <v>743000</v>
      </c>
    </row>
    <row r="21" spans="1:39" s="87" customFormat="1" ht="15" customHeight="1" x14ac:dyDescent="0.25">
      <c r="A21" s="84">
        <f t="shared" si="12"/>
        <v>11</v>
      </c>
      <c r="B21" s="84">
        <v>1917</v>
      </c>
      <c r="C21" s="84" t="s">
        <v>356</v>
      </c>
      <c r="D21" s="88">
        <v>76800000</v>
      </c>
      <c r="E21" s="88">
        <v>76800000</v>
      </c>
      <c r="F21" s="111">
        <f t="shared" si="2"/>
        <v>0</v>
      </c>
      <c r="G21" s="88">
        <v>1500000</v>
      </c>
      <c r="H21" s="88">
        <v>18242</v>
      </c>
      <c r="I21" s="88">
        <v>1402779</v>
      </c>
      <c r="J21" s="88"/>
      <c r="K21" s="88">
        <f t="shared" si="3"/>
        <v>1402779</v>
      </c>
      <c r="L21" s="88">
        <f t="shared" si="4"/>
        <v>1421021</v>
      </c>
      <c r="M21" s="88">
        <f t="shared" si="5"/>
        <v>3578979</v>
      </c>
      <c r="N21" s="88">
        <f>5000000-2500000</f>
        <v>2500000</v>
      </c>
      <c r="O21" s="88">
        <f t="shared" si="6"/>
        <v>69300000</v>
      </c>
      <c r="P21" s="88">
        <f t="shared" si="7"/>
        <v>78979</v>
      </c>
      <c r="Q21" s="88"/>
      <c r="R21" s="395">
        <v>3500000</v>
      </c>
      <c r="S21" s="88">
        <f>SUM(Q21:R21)</f>
        <v>3500000</v>
      </c>
      <c r="T21" s="88">
        <f t="shared" si="9"/>
        <v>0</v>
      </c>
      <c r="U21" s="94">
        <f t="shared" si="10"/>
        <v>2500000</v>
      </c>
      <c r="V21" s="88">
        <v>2500000</v>
      </c>
      <c r="W21" s="88">
        <f t="shared" si="11"/>
        <v>0</v>
      </c>
      <c r="X21" s="88"/>
      <c r="Y21" s="84"/>
      <c r="Z21" s="84">
        <v>743000</v>
      </c>
    </row>
    <row r="22" spans="1:39" s="87" customFormat="1" x14ac:dyDescent="0.25">
      <c r="A22" s="84">
        <f t="shared" si="12"/>
        <v>12</v>
      </c>
      <c r="B22" s="84">
        <v>1560</v>
      </c>
      <c r="C22" s="84" t="s">
        <v>123</v>
      </c>
      <c r="D22" s="88">
        <f>3587000+73000</f>
        <v>3660000</v>
      </c>
      <c r="E22" s="88">
        <v>3587000</v>
      </c>
      <c r="F22" s="88">
        <f t="shared" si="2"/>
        <v>73000</v>
      </c>
      <c r="G22" s="88">
        <v>2180000</v>
      </c>
      <c r="H22" s="88">
        <v>1693893.47</v>
      </c>
      <c r="I22" s="88">
        <v>273982.71000000002</v>
      </c>
      <c r="J22" s="88"/>
      <c r="K22" s="88">
        <f t="shared" si="3"/>
        <v>273982.71000000002</v>
      </c>
      <c r="L22" s="88">
        <f t="shared" si="4"/>
        <v>1967876.18</v>
      </c>
      <c r="M22" s="88">
        <f t="shared" si="5"/>
        <v>212123.82000000007</v>
      </c>
      <c r="N22" s="88">
        <f>150000+700000+200000+430000-800000</f>
        <v>680000</v>
      </c>
      <c r="O22" s="88">
        <f t="shared" si="6"/>
        <v>800000</v>
      </c>
      <c r="P22" s="88">
        <f t="shared" si="7"/>
        <v>212123.82000000007</v>
      </c>
      <c r="Q22" s="88"/>
      <c r="R22" s="88"/>
      <c r="S22" s="88">
        <f>SUM(Q22:R22)</f>
        <v>0</v>
      </c>
      <c r="T22" s="88">
        <f t="shared" si="9"/>
        <v>0</v>
      </c>
      <c r="U22" s="94">
        <f t="shared" si="10"/>
        <v>680000</v>
      </c>
      <c r="V22" s="88">
        <v>430000</v>
      </c>
      <c r="W22" s="88">
        <f t="shared" si="11"/>
        <v>250000</v>
      </c>
      <c r="X22" s="88"/>
      <c r="Y22" s="84"/>
      <c r="Z22" s="84">
        <v>746000</v>
      </c>
    </row>
    <row r="23" spans="1:39" s="87" customFormat="1" x14ac:dyDescent="0.25">
      <c r="A23" s="84">
        <f t="shared" si="12"/>
        <v>13</v>
      </c>
      <c r="B23" s="93">
        <v>1773</v>
      </c>
      <c r="C23" s="93" t="s">
        <v>264</v>
      </c>
      <c r="D23" s="94">
        <v>1000000</v>
      </c>
      <c r="E23" s="88">
        <v>1000000</v>
      </c>
      <c r="F23" s="88">
        <f t="shared" si="2"/>
        <v>0</v>
      </c>
      <c r="G23" s="88">
        <v>500000</v>
      </c>
      <c r="H23" s="88">
        <v>0</v>
      </c>
      <c r="I23" s="88"/>
      <c r="J23" s="88"/>
      <c r="K23" s="88">
        <f t="shared" si="3"/>
        <v>0</v>
      </c>
      <c r="L23" s="88">
        <f t="shared" si="4"/>
        <v>0</v>
      </c>
      <c r="M23" s="88">
        <f t="shared" si="5"/>
        <v>500000</v>
      </c>
      <c r="N23" s="88"/>
      <c r="O23" s="88">
        <f t="shared" si="6"/>
        <v>500000</v>
      </c>
      <c r="P23" s="88">
        <f t="shared" si="7"/>
        <v>500000</v>
      </c>
      <c r="Q23" s="88"/>
      <c r="R23" s="88"/>
      <c r="S23" s="88">
        <f>SUM(Q23:R23)</f>
        <v>0</v>
      </c>
      <c r="T23" s="88">
        <f t="shared" si="9"/>
        <v>0</v>
      </c>
      <c r="U23" s="94">
        <f t="shared" si="10"/>
        <v>0</v>
      </c>
      <c r="V23" s="88"/>
      <c r="W23" s="88">
        <f t="shared" si="11"/>
        <v>0</v>
      </c>
      <c r="X23" s="88"/>
      <c r="Y23" s="84"/>
      <c r="Z23" s="84">
        <v>746000</v>
      </c>
    </row>
    <row r="24" spans="1:39" s="87" customFormat="1" x14ac:dyDescent="0.25">
      <c r="A24" s="84">
        <f t="shared" si="12"/>
        <v>14</v>
      </c>
      <c r="B24" s="84">
        <v>1824</v>
      </c>
      <c r="C24" s="84" t="s">
        <v>342</v>
      </c>
      <c r="D24" s="88">
        <f>1500000-500000</f>
        <v>1000000</v>
      </c>
      <c r="E24" s="88">
        <v>1000000</v>
      </c>
      <c r="F24" s="88">
        <f t="shared" si="2"/>
        <v>0</v>
      </c>
      <c r="G24" s="88">
        <v>100000</v>
      </c>
      <c r="H24" s="88">
        <v>0</v>
      </c>
      <c r="I24" s="88">
        <v>99000</v>
      </c>
      <c r="J24" s="88"/>
      <c r="K24" s="88">
        <f t="shared" si="3"/>
        <v>99000</v>
      </c>
      <c r="L24" s="88">
        <f t="shared" si="4"/>
        <v>99000</v>
      </c>
      <c r="M24" s="88">
        <f t="shared" si="5"/>
        <v>1000</v>
      </c>
      <c r="N24" s="88"/>
      <c r="O24" s="88">
        <f t="shared" si="6"/>
        <v>900000</v>
      </c>
      <c r="P24" s="88">
        <f t="shared" si="7"/>
        <v>1000</v>
      </c>
      <c r="Q24" s="88"/>
      <c r="R24" s="88"/>
      <c r="S24" s="88">
        <f>SUM(Q24:R24)</f>
        <v>0</v>
      </c>
      <c r="T24" s="88">
        <f t="shared" si="9"/>
        <v>0</v>
      </c>
      <c r="U24" s="94">
        <f t="shared" si="10"/>
        <v>0</v>
      </c>
      <c r="V24" s="88"/>
      <c r="W24" s="88">
        <f t="shared" si="11"/>
        <v>0</v>
      </c>
      <c r="X24" s="88"/>
      <c r="Y24" s="84"/>
      <c r="Z24" s="84">
        <v>746000</v>
      </c>
    </row>
    <row r="25" spans="1:39" s="87" customFormat="1" x14ac:dyDescent="0.25">
      <c r="A25" s="84">
        <f t="shared" si="12"/>
        <v>15</v>
      </c>
      <c r="B25" s="84">
        <v>1250</v>
      </c>
      <c r="C25" s="84" t="s">
        <v>105</v>
      </c>
      <c r="D25" s="88">
        <v>1450000</v>
      </c>
      <c r="E25" s="88">
        <v>1450000</v>
      </c>
      <c r="F25" s="88">
        <f t="shared" si="2"/>
        <v>0</v>
      </c>
      <c r="G25" s="88">
        <v>850000</v>
      </c>
      <c r="H25" s="88">
        <v>708018.48</v>
      </c>
      <c r="I25" s="88">
        <v>61841.18</v>
      </c>
      <c r="J25" s="88">
        <v>660.42</v>
      </c>
      <c r="K25" s="88">
        <f t="shared" si="3"/>
        <v>62501.599999999999</v>
      </c>
      <c r="L25" s="88">
        <f t="shared" si="4"/>
        <v>770520.08</v>
      </c>
      <c r="M25" s="88">
        <f t="shared" si="5"/>
        <v>129479.92000000004</v>
      </c>
      <c r="N25" s="88">
        <f>150000+200000-250000</f>
        <v>100000</v>
      </c>
      <c r="O25" s="88">
        <f t="shared" si="6"/>
        <v>450000</v>
      </c>
      <c r="P25" s="88">
        <f t="shared" si="7"/>
        <v>79479.920000000042</v>
      </c>
      <c r="Q25" s="199">
        <f>100000-50000</f>
        <v>50000</v>
      </c>
      <c r="R25" s="88"/>
      <c r="S25" s="88">
        <f>SUM(Q25:R25)</f>
        <v>50000</v>
      </c>
      <c r="T25" s="88">
        <f t="shared" si="9"/>
        <v>0</v>
      </c>
      <c r="U25" s="94">
        <f t="shared" si="10"/>
        <v>100000</v>
      </c>
      <c r="V25" s="88"/>
      <c r="W25" s="88">
        <f t="shared" si="11"/>
        <v>100000</v>
      </c>
      <c r="X25" s="88"/>
      <c r="Y25" s="84"/>
      <c r="Z25" s="84">
        <v>749000</v>
      </c>
    </row>
    <row r="26" spans="1:39" s="120" customFormat="1" ht="15.6" x14ac:dyDescent="0.25">
      <c r="A26" s="28"/>
      <c r="B26" s="28"/>
      <c r="C26" s="28">
        <v>74</v>
      </c>
      <c r="D26" s="101">
        <f>SUM(D14:D25)</f>
        <v>95000000</v>
      </c>
      <c r="E26" s="101">
        <f t="shared" ref="E26:Y26" si="13">SUM(E14:E25)</f>
        <v>105997000</v>
      </c>
      <c r="F26" s="101">
        <f t="shared" si="13"/>
        <v>-10997000</v>
      </c>
      <c r="G26" s="101">
        <f t="shared" si="13"/>
        <v>13920000</v>
      </c>
      <c r="H26" s="101">
        <f t="shared" si="13"/>
        <v>8321440.0099999998</v>
      </c>
      <c r="I26" s="101">
        <f t="shared" si="13"/>
        <v>3106226.41</v>
      </c>
      <c r="J26" s="101">
        <f t="shared" si="13"/>
        <v>660.42</v>
      </c>
      <c r="K26" s="101">
        <f t="shared" si="13"/>
        <v>3106886.83</v>
      </c>
      <c r="L26" s="101">
        <f t="shared" si="13"/>
        <v>11428326.84</v>
      </c>
      <c r="M26" s="101">
        <f t="shared" si="13"/>
        <v>7041673.1600000001</v>
      </c>
      <c r="N26" s="101">
        <f t="shared" si="13"/>
        <v>3880000</v>
      </c>
      <c r="O26" s="101">
        <f t="shared" si="13"/>
        <v>72650000</v>
      </c>
      <c r="P26" s="101">
        <f t="shared" si="13"/>
        <v>2491673.16</v>
      </c>
      <c r="Q26" s="101">
        <f t="shared" si="13"/>
        <v>1050000</v>
      </c>
      <c r="R26" s="101">
        <f t="shared" si="13"/>
        <v>3500000</v>
      </c>
      <c r="S26" s="101">
        <f t="shared" si="13"/>
        <v>4550000</v>
      </c>
      <c r="T26" s="101">
        <f t="shared" si="13"/>
        <v>0</v>
      </c>
      <c r="U26" s="101">
        <f t="shared" si="13"/>
        <v>3880000</v>
      </c>
      <c r="V26" s="101">
        <f t="shared" si="13"/>
        <v>3330000</v>
      </c>
      <c r="W26" s="101">
        <f t="shared" si="13"/>
        <v>550000</v>
      </c>
      <c r="X26" s="101">
        <f t="shared" si="13"/>
        <v>0</v>
      </c>
      <c r="Y26" s="101">
        <f t="shared" si="13"/>
        <v>0</v>
      </c>
      <c r="Z26" s="28"/>
    </row>
    <row r="27" spans="1:39" s="87" customFormat="1" x14ac:dyDescent="0.25">
      <c r="A27" s="84"/>
      <c r="B27" s="84"/>
      <c r="C27" s="84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99"/>
      <c r="R27" s="88"/>
      <c r="S27" s="88"/>
      <c r="T27" s="88"/>
      <c r="U27" s="94"/>
      <c r="V27" s="88"/>
      <c r="W27" s="88"/>
      <c r="X27" s="88"/>
      <c r="Y27" s="84"/>
      <c r="Z27" s="84"/>
    </row>
    <row r="28" spans="1:39" s="87" customFormat="1" x14ac:dyDescent="0.25">
      <c r="A28" s="84"/>
      <c r="B28" s="84"/>
      <c r="C28" s="84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99"/>
      <c r="R28" s="88"/>
      <c r="S28" s="88"/>
      <c r="T28" s="88"/>
      <c r="U28" s="94"/>
      <c r="V28" s="88"/>
      <c r="W28" s="88"/>
      <c r="X28" s="88"/>
      <c r="Y28" s="84"/>
      <c r="Z28" s="84"/>
    </row>
    <row r="29" spans="1:39" s="87" customFormat="1" x14ac:dyDescent="0.25">
      <c r="A29" s="84">
        <f>A25+1</f>
        <v>16</v>
      </c>
      <c r="B29" s="84">
        <v>1281</v>
      </c>
      <c r="C29" s="84" t="s">
        <v>107</v>
      </c>
      <c r="D29" s="88">
        <f>213905840-150000</f>
        <v>213755840</v>
      </c>
      <c r="E29" s="88">
        <v>213905840</v>
      </c>
      <c r="F29" s="88">
        <f t="shared" ref="F29:F54" si="14">D29-E29</f>
        <v>-150000</v>
      </c>
      <c r="G29" s="88">
        <v>213905840</v>
      </c>
      <c r="H29" s="88">
        <v>211376250</v>
      </c>
      <c r="I29" s="88">
        <f>931157+6174</f>
        <v>937331</v>
      </c>
      <c r="J29" s="88">
        <f>511484+804437</f>
        <v>1315921</v>
      </c>
      <c r="K29" s="88">
        <f t="shared" ref="K29:K74" si="15">SUM(I29:J29)</f>
        <v>2253252</v>
      </c>
      <c r="L29" s="88">
        <f t="shared" ref="L29:L74" si="16">H29+K29</f>
        <v>213629502</v>
      </c>
      <c r="M29" s="88">
        <f>P29+S29-150000</f>
        <v>126338</v>
      </c>
      <c r="N29" s="88"/>
      <c r="O29" s="88">
        <f t="shared" ref="O29:O74" si="17">D29-L29-M29-N29</f>
        <v>0</v>
      </c>
      <c r="P29" s="88">
        <f t="shared" ref="P29:P74" si="18">G29-L29</f>
        <v>276338</v>
      </c>
      <c r="Q29" s="88"/>
      <c r="R29" s="88"/>
      <c r="S29" s="88">
        <f>SUM(Q29:R29)</f>
        <v>0</v>
      </c>
      <c r="T29" s="88">
        <f t="shared" ref="T29:T74" si="19">P29-M29+S29</f>
        <v>150000</v>
      </c>
      <c r="U29" s="94">
        <f t="shared" ref="U29:U74" si="20">N29-T29</f>
        <v>-150000</v>
      </c>
      <c r="V29" s="88"/>
      <c r="W29" s="88">
        <f t="shared" ref="W29:W74" si="21">U29-V29-X29-Y29</f>
        <v>-150000</v>
      </c>
      <c r="X29" s="88"/>
      <c r="Y29" s="84"/>
      <c r="Z29" s="84">
        <v>810000</v>
      </c>
    </row>
    <row r="30" spans="1:39" s="87" customFormat="1" x14ac:dyDescent="0.25">
      <c r="A30" s="84">
        <f>A29+1</f>
        <v>17</v>
      </c>
      <c r="B30" s="84">
        <v>1372</v>
      </c>
      <c r="C30" s="84" t="s">
        <v>109</v>
      </c>
      <c r="D30" s="88">
        <v>2900000</v>
      </c>
      <c r="E30" s="88">
        <v>2900000</v>
      </c>
      <c r="F30" s="88">
        <f t="shared" si="14"/>
        <v>0</v>
      </c>
      <c r="G30" s="88">
        <v>1500000</v>
      </c>
      <c r="H30" s="88">
        <v>1407501.36</v>
      </c>
      <c r="I30" s="88">
        <v>92475.76</v>
      </c>
      <c r="J30" s="88"/>
      <c r="K30" s="88">
        <f t="shared" si="15"/>
        <v>92475.76</v>
      </c>
      <c r="L30" s="88">
        <f t="shared" si="16"/>
        <v>1499977.12</v>
      </c>
      <c r="M30" s="88">
        <f>P30+S30</f>
        <v>22.879999999888241</v>
      </c>
      <c r="N30" s="88"/>
      <c r="O30" s="88">
        <f t="shared" si="17"/>
        <v>1400000</v>
      </c>
      <c r="P30" s="88">
        <f t="shared" si="18"/>
        <v>22.879999999888241</v>
      </c>
      <c r="Q30" s="88"/>
      <c r="R30" s="88"/>
      <c r="S30" s="88">
        <f>SUM(Q30:R30)</f>
        <v>0</v>
      </c>
      <c r="T30" s="88">
        <f t="shared" si="19"/>
        <v>0</v>
      </c>
      <c r="U30" s="94">
        <f t="shared" si="20"/>
        <v>0</v>
      </c>
      <c r="V30" s="88"/>
      <c r="W30" s="88">
        <f t="shared" si="21"/>
        <v>0</v>
      </c>
      <c r="X30" s="88"/>
      <c r="Y30" s="84"/>
      <c r="Z30" s="84">
        <v>810000</v>
      </c>
    </row>
    <row r="31" spans="1:39" s="87" customFormat="1" x14ac:dyDescent="0.25">
      <c r="A31" s="84">
        <f>A30+1</f>
        <v>18</v>
      </c>
      <c r="B31" s="84">
        <v>1472</v>
      </c>
      <c r="C31" s="84" t="s">
        <v>111</v>
      </c>
      <c r="D31" s="88">
        <f>21000000-10150000</f>
        <v>10850000</v>
      </c>
      <c r="E31" s="88">
        <v>21000000</v>
      </c>
      <c r="F31" s="88">
        <f t="shared" si="14"/>
        <v>-10150000</v>
      </c>
      <c r="G31" s="88">
        <v>11250000</v>
      </c>
      <c r="H31" s="88">
        <v>9869070</v>
      </c>
      <c r="I31" s="88">
        <v>506122</v>
      </c>
      <c r="J31" s="88">
        <v>4448.6000000000004</v>
      </c>
      <c r="K31" s="88">
        <f t="shared" si="15"/>
        <v>510570.6</v>
      </c>
      <c r="L31" s="88">
        <f t="shared" si="16"/>
        <v>10379640.6</v>
      </c>
      <c r="M31" s="88">
        <f>P31+S31-400000</f>
        <v>470359.40000000037</v>
      </c>
      <c r="N31" s="88"/>
      <c r="O31" s="88">
        <f t="shared" si="17"/>
        <v>0</v>
      </c>
      <c r="P31" s="88">
        <f t="shared" si="18"/>
        <v>870359.40000000037</v>
      </c>
      <c r="Q31" s="88"/>
      <c r="R31" s="88"/>
      <c r="S31" s="88">
        <f>SUM(Q31:R31)</f>
        <v>0</v>
      </c>
      <c r="T31" s="88">
        <f t="shared" si="19"/>
        <v>400000</v>
      </c>
      <c r="U31" s="94">
        <f t="shared" si="20"/>
        <v>-400000</v>
      </c>
      <c r="V31" s="88"/>
      <c r="W31" s="88">
        <f t="shared" si="21"/>
        <v>-400000</v>
      </c>
      <c r="X31" s="88"/>
      <c r="Y31" s="84"/>
      <c r="Z31" s="84">
        <v>810000</v>
      </c>
    </row>
    <row r="32" spans="1:39" s="87" customFormat="1" x14ac:dyDescent="0.25">
      <c r="A32" s="84">
        <f t="shared" ref="A32:A74" si="22">A31+1</f>
        <v>19</v>
      </c>
      <c r="B32" s="84">
        <v>1475</v>
      </c>
      <c r="C32" s="84" t="s">
        <v>113</v>
      </c>
      <c r="D32" s="88">
        <f>3000000-1700000</f>
        <v>1300000</v>
      </c>
      <c r="E32" s="88">
        <v>3000000</v>
      </c>
      <c r="F32" s="88">
        <f t="shared" si="14"/>
        <v>-1700000</v>
      </c>
      <c r="G32" s="88">
        <v>1300000</v>
      </c>
      <c r="H32" s="88">
        <v>1023190.68</v>
      </c>
      <c r="I32" s="88">
        <v>269777.38</v>
      </c>
      <c r="J32" s="88"/>
      <c r="K32" s="88">
        <f t="shared" si="15"/>
        <v>269777.38</v>
      </c>
      <c r="L32" s="88">
        <f t="shared" si="16"/>
        <v>1292968.06</v>
      </c>
      <c r="M32" s="88">
        <f t="shared" ref="M32:M40" si="23">P32+S32</f>
        <v>7031.9399999999441</v>
      </c>
      <c r="N32" s="88"/>
      <c r="O32" s="88">
        <f t="shared" si="17"/>
        <v>0</v>
      </c>
      <c r="P32" s="88">
        <f t="shared" si="18"/>
        <v>7031.9399999999441</v>
      </c>
      <c r="Q32" s="88"/>
      <c r="R32" s="88"/>
      <c r="S32" s="88">
        <f>SUM(Q32:R32)</f>
        <v>0</v>
      </c>
      <c r="T32" s="88">
        <f t="shared" si="19"/>
        <v>0</v>
      </c>
      <c r="U32" s="94">
        <f t="shared" si="20"/>
        <v>0</v>
      </c>
      <c r="V32" s="88"/>
      <c r="W32" s="88">
        <f t="shared" si="21"/>
        <v>0</v>
      </c>
      <c r="X32" s="88"/>
      <c r="Y32" s="84"/>
      <c r="Z32" s="84">
        <v>810000</v>
      </c>
    </row>
    <row r="33" spans="1:39" s="87" customFormat="1" x14ac:dyDescent="0.25">
      <c r="A33" s="84">
        <f t="shared" si="22"/>
        <v>20</v>
      </c>
      <c r="B33" s="84">
        <v>1476</v>
      </c>
      <c r="C33" s="84" t="s">
        <v>504</v>
      </c>
      <c r="D33" s="88">
        <f>3000000-2100000</f>
        <v>900000</v>
      </c>
      <c r="E33" s="88">
        <v>3000000</v>
      </c>
      <c r="F33" s="88">
        <f t="shared" si="14"/>
        <v>-2100000</v>
      </c>
      <c r="G33" s="88">
        <v>800000</v>
      </c>
      <c r="H33" s="88">
        <v>700638.99</v>
      </c>
      <c r="I33" s="88">
        <v>96498.11</v>
      </c>
      <c r="J33" s="88"/>
      <c r="K33" s="88">
        <f t="shared" si="15"/>
        <v>96498.11</v>
      </c>
      <c r="L33" s="88">
        <f t="shared" si="16"/>
        <v>797137.1</v>
      </c>
      <c r="M33" s="88">
        <f t="shared" si="23"/>
        <v>102862.90000000002</v>
      </c>
      <c r="N33" s="88"/>
      <c r="O33" s="88">
        <f t="shared" si="17"/>
        <v>0</v>
      </c>
      <c r="P33" s="88">
        <f t="shared" si="18"/>
        <v>2862.9000000000233</v>
      </c>
      <c r="Q33" s="151">
        <v>100000</v>
      </c>
      <c r="R33" s="88"/>
      <c r="S33" s="88">
        <v>100000</v>
      </c>
      <c r="T33" s="88">
        <f t="shared" si="19"/>
        <v>0</v>
      </c>
      <c r="U33" s="94">
        <f t="shared" si="20"/>
        <v>0</v>
      </c>
      <c r="V33" s="88"/>
      <c r="W33" s="88">
        <f t="shared" si="21"/>
        <v>0</v>
      </c>
      <c r="X33" s="88"/>
      <c r="Y33" s="84"/>
      <c r="Z33" s="84">
        <v>810000</v>
      </c>
    </row>
    <row r="34" spans="1:39" s="87" customFormat="1" ht="15.75" customHeight="1" x14ac:dyDescent="0.25">
      <c r="A34" s="84">
        <f t="shared" si="22"/>
        <v>21</v>
      </c>
      <c r="B34" s="84">
        <v>1477</v>
      </c>
      <c r="C34" s="85" t="s">
        <v>114</v>
      </c>
      <c r="D34" s="88">
        <f>7900000-5700000</f>
        <v>2200000</v>
      </c>
      <c r="E34" s="88">
        <v>7900000</v>
      </c>
      <c r="F34" s="88">
        <f t="shared" si="14"/>
        <v>-5700000</v>
      </c>
      <c r="G34" s="88">
        <v>2200000</v>
      </c>
      <c r="H34" s="88">
        <v>1162353</v>
      </c>
      <c r="I34" s="88">
        <v>865170</v>
      </c>
      <c r="J34" s="88"/>
      <c r="K34" s="88">
        <f t="shared" si="15"/>
        <v>865170</v>
      </c>
      <c r="L34" s="88">
        <f t="shared" si="16"/>
        <v>2027523</v>
      </c>
      <c r="M34" s="88">
        <f t="shared" si="23"/>
        <v>172477</v>
      </c>
      <c r="N34" s="88"/>
      <c r="O34" s="88">
        <f t="shared" si="17"/>
        <v>0</v>
      </c>
      <c r="P34" s="88">
        <f t="shared" si="18"/>
        <v>172477</v>
      </c>
      <c r="Q34" s="88"/>
      <c r="R34" s="88"/>
      <c r="S34" s="88">
        <f t="shared" ref="S34:S74" si="24">SUM(Q34:R34)</f>
        <v>0</v>
      </c>
      <c r="T34" s="88">
        <f t="shared" si="19"/>
        <v>0</v>
      </c>
      <c r="U34" s="94">
        <f t="shared" si="20"/>
        <v>0</v>
      </c>
      <c r="V34" s="88"/>
      <c r="W34" s="88">
        <f t="shared" si="21"/>
        <v>0</v>
      </c>
      <c r="X34" s="88"/>
      <c r="Y34" s="84"/>
      <c r="Z34" s="84">
        <v>810000</v>
      </c>
    </row>
    <row r="35" spans="1:39" s="87" customFormat="1" x14ac:dyDescent="0.25">
      <c r="A35" s="84">
        <f t="shared" si="22"/>
        <v>22</v>
      </c>
      <c r="B35" s="84">
        <v>1479</v>
      </c>
      <c r="C35" s="84" t="s">
        <v>115</v>
      </c>
      <c r="D35" s="88">
        <f>2500000-1100000</f>
        <v>1400000</v>
      </c>
      <c r="E35" s="88">
        <v>2500000</v>
      </c>
      <c r="F35" s="88">
        <f t="shared" si="14"/>
        <v>-1100000</v>
      </c>
      <c r="G35" s="88">
        <v>1200000</v>
      </c>
      <c r="H35" s="88">
        <v>944517.17</v>
      </c>
      <c r="I35" s="88">
        <v>226892.82</v>
      </c>
      <c r="J35" s="88">
        <v>9066.33</v>
      </c>
      <c r="K35" s="88">
        <f t="shared" si="15"/>
        <v>235959.15</v>
      </c>
      <c r="L35" s="88">
        <f t="shared" si="16"/>
        <v>1180476.32</v>
      </c>
      <c r="M35" s="88">
        <f t="shared" si="23"/>
        <v>219523.67999999993</v>
      </c>
      <c r="N35" s="88"/>
      <c r="O35" s="88">
        <f t="shared" si="17"/>
        <v>0</v>
      </c>
      <c r="P35" s="88">
        <f t="shared" si="18"/>
        <v>19523.679999999935</v>
      </c>
      <c r="Q35" s="151">
        <v>200000</v>
      </c>
      <c r="R35" s="88"/>
      <c r="S35" s="88">
        <f t="shared" si="24"/>
        <v>200000</v>
      </c>
      <c r="T35" s="88">
        <f t="shared" si="19"/>
        <v>0</v>
      </c>
      <c r="U35" s="94">
        <f t="shared" si="20"/>
        <v>0</v>
      </c>
      <c r="V35" s="88"/>
      <c r="W35" s="88">
        <f t="shared" si="21"/>
        <v>0</v>
      </c>
      <c r="X35" s="88"/>
      <c r="Y35" s="84"/>
      <c r="Z35" s="84">
        <v>810000</v>
      </c>
    </row>
    <row r="36" spans="1:39" s="87" customFormat="1" x14ac:dyDescent="0.25">
      <c r="A36" s="84">
        <f t="shared" si="22"/>
        <v>23</v>
      </c>
      <c r="B36" s="84">
        <v>1480</v>
      </c>
      <c r="C36" s="84" t="s">
        <v>116</v>
      </c>
      <c r="D36" s="88">
        <v>4500000</v>
      </c>
      <c r="E36" s="88">
        <v>4500000</v>
      </c>
      <c r="F36" s="88">
        <f t="shared" si="14"/>
        <v>0</v>
      </c>
      <c r="G36" s="88">
        <v>2100000</v>
      </c>
      <c r="H36" s="88">
        <v>1974585.09</v>
      </c>
      <c r="I36" s="88">
        <v>87005</v>
      </c>
      <c r="J36" s="88">
        <v>0.48</v>
      </c>
      <c r="K36" s="88">
        <f t="shared" si="15"/>
        <v>87005.48</v>
      </c>
      <c r="L36" s="88">
        <f t="shared" si="16"/>
        <v>2061590.57</v>
      </c>
      <c r="M36" s="88">
        <f t="shared" si="23"/>
        <v>438409.42999999993</v>
      </c>
      <c r="N36" s="88">
        <f>1500000-1000000</f>
        <v>500000</v>
      </c>
      <c r="O36" s="88">
        <f t="shared" si="17"/>
        <v>1499999.9999999998</v>
      </c>
      <c r="P36" s="88">
        <f t="shared" si="18"/>
        <v>38409.429999999935</v>
      </c>
      <c r="Q36" s="149">
        <v>400000</v>
      </c>
      <c r="R36" s="88"/>
      <c r="S36" s="88">
        <f t="shared" si="24"/>
        <v>400000</v>
      </c>
      <c r="T36" s="88">
        <f t="shared" si="19"/>
        <v>0</v>
      </c>
      <c r="U36" s="94">
        <f t="shared" si="20"/>
        <v>500000</v>
      </c>
      <c r="V36" s="88"/>
      <c r="W36" s="88">
        <f t="shared" si="21"/>
        <v>500000</v>
      </c>
      <c r="X36" s="88"/>
      <c r="Y36" s="84"/>
      <c r="Z36" s="84">
        <v>810000</v>
      </c>
    </row>
    <row r="37" spans="1:39" s="87" customFormat="1" x14ac:dyDescent="0.25">
      <c r="A37" s="84">
        <f t="shared" si="22"/>
        <v>24</v>
      </c>
      <c r="B37" s="84">
        <v>1482</v>
      </c>
      <c r="C37" s="84" t="s">
        <v>117</v>
      </c>
      <c r="D37" s="88">
        <f>5000000-3550000</f>
        <v>1450000</v>
      </c>
      <c r="E37" s="88">
        <v>5000000</v>
      </c>
      <c r="F37" s="88">
        <f t="shared" si="14"/>
        <v>-3550000</v>
      </c>
      <c r="G37" s="88">
        <v>1450000</v>
      </c>
      <c r="H37" s="88">
        <v>1233186</v>
      </c>
      <c r="I37" s="88">
        <v>212442</v>
      </c>
      <c r="J37" s="88"/>
      <c r="K37" s="88">
        <f t="shared" si="15"/>
        <v>212442</v>
      </c>
      <c r="L37" s="88">
        <f t="shared" si="16"/>
        <v>1445628</v>
      </c>
      <c r="M37" s="88">
        <f t="shared" si="23"/>
        <v>4372</v>
      </c>
      <c r="N37" s="88"/>
      <c r="O37" s="88">
        <f t="shared" si="17"/>
        <v>0</v>
      </c>
      <c r="P37" s="88">
        <f t="shared" si="18"/>
        <v>4372</v>
      </c>
      <c r="Q37" s="88"/>
      <c r="R37" s="88"/>
      <c r="S37" s="88">
        <f t="shared" si="24"/>
        <v>0</v>
      </c>
      <c r="T37" s="88">
        <f t="shared" si="19"/>
        <v>0</v>
      </c>
      <c r="U37" s="94">
        <f t="shared" si="20"/>
        <v>0</v>
      </c>
      <c r="V37" s="88"/>
      <c r="W37" s="88">
        <f t="shared" si="21"/>
        <v>0</v>
      </c>
      <c r="X37" s="88"/>
      <c r="Y37" s="84"/>
      <c r="Z37" s="84">
        <v>810000</v>
      </c>
    </row>
    <row r="38" spans="1:39" s="95" customFormat="1" x14ac:dyDescent="0.25">
      <c r="A38" s="84">
        <f t="shared" si="22"/>
        <v>25</v>
      </c>
      <c r="B38" s="84">
        <v>1676</v>
      </c>
      <c r="C38" s="84" t="s">
        <v>506</v>
      </c>
      <c r="D38" s="88">
        <v>43215000</v>
      </c>
      <c r="E38" s="88">
        <v>43215000</v>
      </c>
      <c r="F38" s="88">
        <f t="shared" si="14"/>
        <v>0</v>
      </c>
      <c r="G38" s="88">
        <v>43215000</v>
      </c>
      <c r="H38" s="88">
        <v>42035314.229999997</v>
      </c>
      <c r="I38" s="88">
        <v>102752.78</v>
      </c>
      <c r="J38" s="88">
        <v>529520.14</v>
      </c>
      <c r="K38" s="88">
        <f t="shared" si="15"/>
        <v>632272.92000000004</v>
      </c>
      <c r="L38" s="88">
        <f t="shared" si="16"/>
        <v>42667587.149999999</v>
      </c>
      <c r="M38" s="88">
        <f t="shared" si="23"/>
        <v>547412.85000000149</v>
      </c>
      <c r="N38" s="88"/>
      <c r="O38" s="88">
        <f t="shared" si="17"/>
        <v>0</v>
      </c>
      <c r="P38" s="88">
        <f t="shared" si="18"/>
        <v>547412.85000000149</v>
      </c>
      <c r="Q38" s="88"/>
      <c r="R38" s="88"/>
      <c r="S38" s="88">
        <f t="shared" si="24"/>
        <v>0</v>
      </c>
      <c r="T38" s="88">
        <f t="shared" si="19"/>
        <v>0</v>
      </c>
      <c r="U38" s="94">
        <f t="shared" si="20"/>
        <v>0</v>
      </c>
      <c r="V38" s="88"/>
      <c r="W38" s="88">
        <f t="shared" si="21"/>
        <v>0</v>
      </c>
      <c r="X38" s="88"/>
      <c r="Y38" s="84"/>
      <c r="Z38" s="84">
        <v>810000</v>
      </c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s="87" customFormat="1" x14ac:dyDescent="0.25">
      <c r="A39" s="84">
        <f t="shared" si="22"/>
        <v>26</v>
      </c>
      <c r="B39" s="84">
        <v>1677</v>
      </c>
      <c r="C39" s="84" t="s">
        <v>126</v>
      </c>
      <c r="D39" s="88">
        <v>19000000</v>
      </c>
      <c r="E39" s="88">
        <v>19000000</v>
      </c>
      <c r="F39" s="88">
        <f t="shared" si="14"/>
        <v>0</v>
      </c>
      <c r="G39" s="88">
        <v>19000000</v>
      </c>
      <c r="H39" s="88">
        <v>15431808.43</v>
      </c>
      <c r="I39" s="88">
        <v>2659116.7799999998</v>
      </c>
      <c r="J39" s="88">
        <v>840876.03</v>
      </c>
      <c r="K39" s="88">
        <f t="shared" si="15"/>
        <v>3499992.8099999996</v>
      </c>
      <c r="L39" s="88">
        <f t="shared" si="16"/>
        <v>18931801.239999998</v>
      </c>
      <c r="M39" s="88">
        <f t="shared" si="23"/>
        <v>68198.760000001639</v>
      </c>
      <c r="N39" s="88"/>
      <c r="O39" s="88">
        <f t="shared" si="17"/>
        <v>0</v>
      </c>
      <c r="P39" s="88">
        <f t="shared" si="18"/>
        <v>68198.760000001639</v>
      </c>
      <c r="Q39" s="88"/>
      <c r="R39" s="88"/>
      <c r="S39" s="88">
        <f t="shared" si="24"/>
        <v>0</v>
      </c>
      <c r="T39" s="88">
        <f t="shared" si="19"/>
        <v>0</v>
      </c>
      <c r="U39" s="94">
        <f t="shared" si="20"/>
        <v>0</v>
      </c>
      <c r="V39" s="88"/>
      <c r="W39" s="88">
        <f t="shared" si="21"/>
        <v>0</v>
      </c>
      <c r="X39" s="88"/>
      <c r="Y39" s="84"/>
      <c r="Z39" s="84">
        <v>810000</v>
      </c>
    </row>
    <row r="40" spans="1:39" s="87" customFormat="1" x14ac:dyDescent="0.25">
      <c r="A40" s="84">
        <f t="shared" si="22"/>
        <v>27</v>
      </c>
      <c r="B40" s="84">
        <v>1691</v>
      </c>
      <c r="C40" s="84" t="s">
        <v>507</v>
      </c>
      <c r="D40" s="88">
        <v>210000</v>
      </c>
      <c r="E40" s="88">
        <v>210000</v>
      </c>
      <c r="F40" s="88">
        <f t="shared" si="14"/>
        <v>0</v>
      </c>
      <c r="G40" s="88">
        <v>210000</v>
      </c>
      <c r="H40" s="88">
        <v>184253.53</v>
      </c>
      <c r="I40" s="88"/>
      <c r="J40" s="88"/>
      <c r="K40" s="88">
        <f t="shared" si="15"/>
        <v>0</v>
      </c>
      <c r="L40" s="88">
        <f t="shared" si="16"/>
        <v>184253.53</v>
      </c>
      <c r="M40" s="88">
        <f t="shared" si="23"/>
        <v>25746.47</v>
      </c>
      <c r="N40" s="88"/>
      <c r="O40" s="88">
        <f t="shared" si="17"/>
        <v>0</v>
      </c>
      <c r="P40" s="88">
        <f t="shared" si="18"/>
        <v>25746.47</v>
      </c>
      <c r="Q40" s="88"/>
      <c r="R40" s="88"/>
      <c r="S40" s="88">
        <f t="shared" si="24"/>
        <v>0</v>
      </c>
      <c r="T40" s="88">
        <f t="shared" si="19"/>
        <v>0</v>
      </c>
      <c r="U40" s="94">
        <f t="shared" si="20"/>
        <v>0</v>
      </c>
      <c r="V40" s="88"/>
      <c r="W40" s="88">
        <f t="shared" si="21"/>
        <v>0</v>
      </c>
      <c r="X40" s="88"/>
      <c r="Y40" s="84"/>
      <c r="Z40" s="84">
        <v>810000</v>
      </c>
    </row>
    <row r="41" spans="1:39" s="87" customFormat="1" x14ac:dyDescent="0.25">
      <c r="A41" s="84">
        <f t="shared" si="22"/>
        <v>28</v>
      </c>
      <c r="B41" s="84">
        <v>1703</v>
      </c>
      <c r="C41" s="84" t="s">
        <v>130</v>
      </c>
      <c r="D41" s="88">
        <f>550000-31000</f>
        <v>519000</v>
      </c>
      <c r="E41" s="88">
        <v>550000</v>
      </c>
      <c r="F41" s="88">
        <f t="shared" si="14"/>
        <v>-31000</v>
      </c>
      <c r="G41" s="88">
        <v>550000</v>
      </c>
      <c r="H41" s="88">
        <v>517511.31</v>
      </c>
      <c r="I41" s="88">
        <v>839.4</v>
      </c>
      <c r="J41" s="88"/>
      <c r="K41" s="88">
        <f t="shared" si="15"/>
        <v>839.4</v>
      </c>
      <c r="L41" s="88">
        <f t="shared" si="16"/>
        <v>518350.71</v>
      </c>
      <c r="M41" s="88">
        <f>P41+S41-31000</f>
        <v>649.28999999997905</v>
      </c>
      <c r="N41" s="88"/>
      <c r="O41" s="88">
        <f t="shared" si="17"/>
        <v>0</v>
      </c>
      <c r="P41" s="88">
        <f t="shared" si="18"/>
        <v>31649.289999999979</v>
      </c>
      <c r="Q41" s="88"/>
      <c r="R41" s="88"/>
      <c r="S41" s="88">
        <f t="shared" si="24"/>
        <v>0</v>
      </c>
      <c r="T41" s="88">
        <f t="shared" si="19"/>
        <v>31000</v>
      </c>
      <c r="U41" s="94">
        <f t="shared" si="20"/>
        <v>-31000</v>
      </c>
      <c r="V41" s="88"/>
      <c r="W41" s="88">
        <f t="shared" si="21"/>
        <v>-31000</v>
      </c>
      <c r="X41" s="88"/>
      <c r="Y41" s="84"/>
      <c r="Z41" s="84">
        <v>810000</v>
      </c>
    </row>
    <row r="42" spans="1:39" s="95" customFormat="1" x14ac:dyDescent="0.25">
      <c r="A42" s="84">
        <f t="shared" si="22"/>
        <v>29</v>
      </c>
      <c r="B42" s="84">
        <v>1711</v>
      </c>
      <c r="C42" s="84" t="s">
        <v>131</v>
      </c>
      <c r="D42" s="88">
        <f>215000+210000</f>
        <v>425000</v>
      </c>
      <c r="E42" s="88">
        <v>215000</v>
      </c>
      <c r="F42" s="88">
        <f t="shared" si="14"/>
        <v>210000</v>
      </c>
      <c r="G42" s="88">
        <v>215000</v>
      </c>
      <c r="H42" s="88">
        <v>184663.4</v>
      </c>
      <c r="I42" s="88">
        <v>30134.04</v>
      </c>
      <c r="J42" s="88"/>
      <c r="K42" s="88">
        <f t="shared" si="15"/>
        <v>30134.04</v>
      </c>
      <c r="L42" s="88">
        <f t="shared" si="16"/>
        <v>214797.44</v>
      </c>
      <c r="M42" s="88">
        <f>P42+S42</f>
        <v>202.55999999999767</v>
      </c>
      <c r="N42" s="88">
        <v>210000</v>
      </c>
      <c r="O42" s="88">
        <f t="shared" si="17"/>
        <v>0</v>
      </c>
      <c r="P42" s="88">
        <f t="shared" si="18"/>
        <v>202.55999999999767</v>
      </c>
      <c r="Q42" s="88"/>
      <c r="R42" s="88"/>
      <c r="S42" s="88">
        <f t="shared" si="24"/>
        <v>0</v>
      </c>
      <c r="T42" s="88">
        <f t="shared" si="19"/>
        <v>0</v>
      </c>
      <c r="U42" s="94">
        <f t="shared" si="20"/>
        <v>210000</v>
      </c>
      <c r="V42" s="88">
        <v>110000</v>
      </c>
      <c r="W42" s="88">
        <f t="shared" si="21"/>
        <v>100000</v>
      </c>
      <c r="X42" s="88"/>
      <c r="Y42" s="84"/>
      <c r="Z42" s="84">
        <v>810000</v>
      </c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1:39" s="87" customFormat="1" x14ac:dyDescent="0.25">
      <c r="A43" s="84">
        <f t="shared" si="22"/>
        <v>30</v>
      </c>
      <c r="B43" s="84">
        <v>1733</v>
      </c>
      <c r="C43" s="84" t="s">
        <v>133</v>
      </c>
      <c r="D43" s="88">
        <f>1255000-62000</f>
        <v>1193000</v>
      </c>
      <c r="E43" s="88">
        <v>1255000</v>
      </c>
      <c r="F43" s="88">
        <f t="shared" si="14"/>
        <v>-62000</v>
      </c>
      <c r="G43" s="88">
        <v>1255000</v>
      </c>
      <c r="H43" s="88">
        <v>1117321.78</v>
      </c>
      <c r="I43" s="88">
        <v>75128.47</v>
      </c>
      <c r="J43" s="88"/>
      <c r="K43" s="88">
        <f t="shared" si="15"/>
        <v>75128.47</v>
      </c>
      <c r="L43" s="88">
        <f t="shared" si="16"/>
        <v>1192450.25</v>
      </c>
      <c r="M43" s="88">
        <f>P43+S43-62000</f>
        <v>549.75</v>
      </c>
      <c r="N43" s="88"/>
      <c r="O43" s="88">
        <f t="shared" si="17"/>
        <v>0</v>
      </c>
      <c r="P43" s="88">
        <f t="shared" si="18"/>
        <v>62549.75</v>
      </c>
      <c r="Q43" s="88"/>
      <c r="R43" s="88"/>
      <c r="S43" s="88">
        <f t="shared" si="24"/>
        <v>0</v>
      </c>
      <c r="T43" s="88">
        <f t="shared" si="19"/>
        <v>62000</v>
      </c>
      <c r="U43" s="94">
        <f t="shared" si="20"/>
        <v>-62000</v>
      </c>
      <c r="V43" s="88"/>
      <c r="W43" s="88">
        <f t="shared" si="21"/>
        <v>-62000</v>
      </c>
      <c r="X43" s="88"/>
      <c r="Y43" s="84"/>
      <c r="Z43" s="84">
        <v>810000</v>
      </c>
    </row>
    <row r="44" spans="1:39" s="87" customFormat="1" x14ac:dyDescent="0.25">
      <c r="A44" s="84">
        <f t="shared" si="22"/>
        <v>31</v>
      </c>
      <c r="B44" s="110">
        <v>1767</v>
      </c>
      <c r="C44" s="110" t="s">
        <v>442</v>
      </c>
      <c r="D44" s="111">
        <f>2300000-1000000</f>
        <v>1300000</v>
      </c>
      <c r="E44" s="111">
        <v>1300000</v>
      </c>
      <c r="F44" s="88">
        <f t="shared" si="14"/>
        <v>0</v>
      </c>
      <c r="G44" s="111">
        <f>300000+200000</f>
        <v>500000</v>
      </c>
      <c r="H44" s="111">
        <v>276723</v>
      </c>
      <c r="I44" s="111">
        <v>149860</v>
      </c>
      <c r="J44" s="111"/>
      <c r="K44" s="111">
        <f t="shared" si="15"/>
        <v>149860</v>
      </c>
      <c r="L44" s="111">
        <f t="shared" si="16"/>
        <v>426583</v>
      </c>
      <c r="M44" s="111">
        <f>P44+S44</f>
        <v>873417</v>
      </c>
      <c r="N44" s="111"/>
      <c r="O44" s="111">
        <f t="shared" si="17"/>
        <v>0</v>
      </c>
      <c r="P44" s="111">
        <f t="shared" si="18"/>
        <v>73417</v>
      </c>
      <c r="Q44" s="88"/>
      <c r="R44" s="199">
        <f>1000000-200000</f>
        <v>800000</v>
      </c>
      <c r="S44" s="88">
        <f t="shared" si="24"/>
        <v>800000</v>
      </c>
      <c r="T44" s="111">
        <f t="shared" si="19"/>
        <v>0</v>
      </c>
      <c r="U44" s="94">
        <f t="shared" si="20"/>
        <v>0</v>
      </c>
      <c r="V44" s="111"/>
      <c r="W44" s="88">
        <f t="shared" si="21"/>
        <v>0</v>
      </c>
      <c r="X44" s="111"/>
      <c r="Y44" s="110"/>
      <c r="Z44" s="110">
        <v>810000</v>
      </c>
    </row>
    <row r="45" spans="1:39" s="87" customFormat="1" x14ac:dyDescent="0.25">
      <c r="A45" s="84">
        <f t="shared" si="22"/>
        <v>32</v>
      </c>
      <c r="B45" s="84">
        <v>1768</v>
      </c>
      <c r="C45" s="84" t="s">
        <v>134</v>
      </c>
      <c r="D45" s="88">
        <v>1430000</v>
      </c>
      <c r="E45" s="88">
        <v>1430000</v>
      </c>
      <c r="F45" s="88">
        <f t="shared" si="14"/>
        <v>0</v>
      </c>
      <c r="G45" s="88">
        <v>1430000</v>
      </c>
      <c r="H45" s="88">
        <v>664504.73</v>
      </c>
      <c r="I45" s="88">
        <v>1638</v>
      </c>
      <c r="J45" s="88">
        <v>437195.78</v>
      </c>
      <c r="K45" s="88">
        <f t="shared" si="15"/>
        <v>438833.78</v>
      </c>
      <c r="L45" s="88">
        <f t="shared" si="16"/>
        <v>1103338.51</v>
      </c>
      <c r="M45" s="88">
        <f>P45+S45</f>
        <v>326661.49</v>
      </c>
      <c r="N45" s="88"/>
      <c r="O45" s="88">
        <f t="shared" si="17"/>
        <v>0</v>
      </c>
      <c r="P45" s="88">
        <f t="shared" si="18"/>
        <v>326661.49</v>
      </c>
      <c r="Q45" s="88"/>
      <c r="R45" s="88"/>
      <c r="S45" s="88">
        <f t="shared" si="24"/>
        <v>0</v>
      </c>
      <c r="T45" s="88">
        <f t="shared" si="19"/>
        <v>0</v>
      </c>
      <c r="U45" s="94">
        <f t="shared" si="20"/>
        <v>0</v>
      </c>
      <c r="V45" s="88"/>
      <c r="W45" s="88">
        <f t="shared" si="21"/>
        <v>0</v>
      </c>
      <c r="X45" s="88"/>
      <c r="Y45" s="84"/>
      <c r="Z45" s="84">
        <v>810000</v>
      </c>
    </row>
    <row r="46" spans="1:39" s="95" customFormat="1" x14ac:dyDescent="0.25">
      <c r="A46" s="84">
        <f t="shared" si="22"/>
        <v>33</v>
      </c>
      <c r="B46" s="84">
        <v>1769</v>
      </c>
      <c r="C46" s="84" t="s">
        <v>135</v>
      </c>
      <c r="D46" s="88">
        <f>5000000-130000</f>
        <v>4870000</v>
      </c>
      <c r="E46" s="88">
        <v>5000000</v>
      </c>
      <c r="F46" s="88">
        <f t="shared" si="14"/>
        <v>-130000</v>
      </c>
      <c r="G46" s="88">
        <v>5000000</v>
      </c>
      <c r="H46" s="88">
        <v>4590469.59</v>
      </c>
      <c r="I46" s="88">
        <v>9440.49</v>
      </c>
      <c r="J46" s="88">
        <v>263287.28999999998</v>
      </c>
      <c r="K46" s="88">
        <f t="shared" si="15"/>
        <v>272727.77999999997</v>
      </c>
      <c r="L46" s="88">
        <f t="shared" si="16"/>
        <v>4863197.37</v>
      </c>
      <c r="M46" s="88">
        <f>P46+S46-130000</f>
        <v>6802.6299999998882</v>
      </c>
      <c r="N46" s="88"/>
      <c r="O46" s="88">
        <f t="shared" si="17"/>
        <v>0</v>
      </c>
      <c r="P46" s="88">
        <f t="shared" si="18"/>
        <v>136802.62999999989</v>
      </c>
      <c r="Q46" s="88"/>
      <c r="R46" s="88"/>
      <c r="S46" s="88">
        <f t="shared" si="24"/>
        <v>0</v>
      </c>
      <c r="T46" s="88">
        <f t="shared" si="19"/>
        <v>130000</v>
      </c>
      <c r="U46" s="94">
        <f t="shared" si="20"/>
        <v>-130000</v>
      </c>
      <c r="V46" s="88"/>
      <c r="W46" s="88">
        <f t="shared" si="21"/>
        <v>-130000</v>
      </c>
      <c r="X46" s="88"/>
      <c r="Y46" s="84"/>
      <c r="Z46" s="84">
        <v>810000</v>
      </c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1:39" s="87" customFormat="1" x14ac:dyDescent="0.25">
      <c r="A47" s="84">
        <f t="shared" si="22"/>
        <v>34</v>
      </c>
      <c r="B47" s="110">
        <v>1770</v>
      </c>
      <c r="C47" s="110" t="s">
        <v>453</v>
      </c>
      <c r="D47" s="111">
        <v>29520000</v>
      </c>
      <c r="E47" s="111">
        <v>29520000</v>
      </c>
      <c r="F47" s="111">
        <f t="shared" si="14"/>
        <v>0</v>
      </c>
      <c r="G47" s="111">
        <f>25158580+770000+1301420</f>
        <v>27230000</v>
      </c>
      <c r="H47" s="111">
        <v>13791020</v>
      </c>
      <c r="I47" s="111">
        <v>1104693</v>
      </c>
      <c r="J47" s="111">
        <v>10745214</v>
      </c>
      <c r="K47" s="111">
        <f t="shared" si="15"/>
        <v>11849907</v>
      </c>
      <c r="L47" s="111">
        <f t="shared" si="16"/>
        <v>25640927</v>
      </c>
      <c r="M47" s="111">
        <f>P47+S47</f>
        <v>3879073</v>
      </c>
      <c r="N47" s="111"/>
      <c r="O47" s="111">
        <f t="shared" si="17"/>
        <v>0</v>
      </c>
      <c r="P47" s="111">
        <f t="shared" si="18"/>
        <v>1589073</v>
      </c>
      <c r="Q47" s="88"/>
      <c r="R47" s="88">
        <v>2290000</v>
      </c>
      <c r="S47" s="111">
        <f t="shared" si="24"/>
        <v>2290000</v>
      </c>
      <c r="T47" s="111">
        <f t="shared" si="19"/>
        <v>0</v>
      </c>
      <c r="U47" s="94">
        <f t="shared" si="20"/>
        <v>0</v>
      </c>
      <c r="V47" s="111"/>
      <c r="W47" s="88">
        <f t="shared" si="21"/>
        <v>0</v>
      </c>
      <c r="X47" s="111"/>
      <c r="Y47" s="110"/>
      <c r="Z47" s="110">
        <v>810000</v>
      </c>
    </row>
    <row r="48" spans="1:39" s="87" customFormat="1" x14ac:dyDescent="0.25">
      <c r="A48" s="84">
        <f t="shared" si="22"/>
        <v>35</v>
      </c>
      <c r="B48" s="84">
        <v>1771</v>
      </c>
      <c r="C48" s="84" t="s">
        <v>276</v>
      </c>
      <c r="D48" s="88">
        <f>3500000-230000</f>
        <v>3270000</v>
      </c>
      <c r="E48" s="88">
        <v>3500000</v>
      </c>
      <c r="F48" s="88">
        <f t="shared" si="14"/>
        <v>-230000</v>
      </c>
      <c r="G48" s="88">
        <v>3500000</v>
      </c>
      <c r="H48" s="88">
        <v>3256302.82</v>
      </c>
      <c r="I48" s="88">
        <v>11800</v>
      </c>
      <c r="J48" s="88"/>
      <c r="K48" s="88">
        <f t="shared" si="15"/>
        <v>11800</v>
      </c>
      <c r="L48" s="88">
        <f t="shared" si="16"/>
        <v>3268102.82</v>
      </c>
      <c r="M48" s="88">
        <f>P48+S48-230000</f>
        <v>1897.1800000001676</v>
      </c>
      <c r="N48" s="88"/>
      <c r="O48" s="88">
        <f t="shared" si="17"/>
        <v>0</v>
      </c>
      <c r="P48" s="88">
        <f t="shared" si="18"/>
        <v>231897.18000000017</v>
      </c>
      <c r="Q48" s="88"/>
      <c r="R48" s="88"/>
      <c r="S48" s="88">
        <f t="shared" si="24"/>
        <v>0</v>
      </c>
      <c r="T48" s="88">
        <f t="shared" si="19"/>
        <v>230000</v>
      </c>
      <c r="U48" s="94">
        <f t="shared" si="20"/>
        <v>-230000</v>
      </c>
      <c r="V48" s="88"/>
      <c r="W48" s="88">
        <f t="shared" si="21"/>
        <v>-230000</v>
      </c>
      <c r="X48" s="88"/>
      <c r="Y48" s="84"/>
      <c r="Z48" s="84">
        <v>810000</v>
      </c>
    </row>
    <row r="49" spans="1:26" s="87" customFormat="1" x14ac:dyDescent="0.25">
      <c r="A49" s="84">
        <f t="shared" si="22"/>
        <v>36</v>
      </c>
      <c r="B49" s="84">
        <v>1821</v>
      </c>
      <c r="C49" s="84" t="s">
        <v>341</v>
      </c>
      <c r="D49" s="88">
        <v>170000</v>
      </c>
      <c r="E49" s="88">
        <v>170000</v>
      </c>
      <c r="F49" s="88">
        <f t="shared" si="14"/>
        <v>0</v>
      </c>
      <c r="G49" s="88">
        <v>170000</v>
      </c>
      <c r="H49" s="88">
        <v>55000</v>
      </c>
      <c r="I49" s="88">
        <v>42660.54</v>
      </c>
      <c r="J49" s="88"/>
      <c r="K49" s="88">
        <f t="shared" si="15"/>
        <v>42660.54</v>
      </c>
      <c r="L49" s="88">
        <f t="shared" si="16"/>
        <v>97660.540000000008</v>
      </c>
      <c r="M49" s="88">
        <f t="shared" ref="M49:M69" si="25">P49+S49</f>
        <v>72339.459999999992</v>
      </c>
      <c r="N49" s="88"/>
      <c r="O49" s="88">
        <f t="shared" si="17"/>
        <v>0</v>
      </c>
      <c r="P49" s="88">
        <f t="shared" si="18"/>
        <v>72339.459999999992</v>
      </c>
      <c r="Q49" s="88"/>
      <c r="R49" s="88"/>
      <c r="S49" s="88">
        <f t="shared" si="24"/>
        <v>0</v>
      </c>
      <c r="T49" s="88">
        <f t="shared" si="19"/>
        <v>0</v>
      </c>
      <c r="U49" s="94">
        <f t="shared" si="20"/>
        <v>0</v>
      </c>
      <c r="V49" s="88"/>
      <c r="W49" s="88">
        <f t="shared" si="21"/>
        <v>0</v>
      </c>
      <c r="X49" s="88"/>
      <c r="Y49" s="84"/>
      <c r="Z49" s="84">
        <v>810000</v>
      </c>
    </row>
    <row r="50" spans="1:26" s="87" customFormat="1" x14ac:dyDescent="0.25">
      <c r="A50" s="84">
        <f t="shared" si="22"/>
        <v>37</v>
      </c>
      <c r="B50" s="84">
        <v>1850</v>
      </c>
      <c r="C50" s="84" t="s">
        <v>344</v>
      </c>
      <c r="D50" s="88">
        <v>14600000</v>
      </c>
      <c r="E50" s="88">
        <v>14600000</v>
      </c>
      <c r="F50" s="88">
        <f t="shared" si="14"/>
        <v>0</v>
      </c>
      <c r="G50" s="88">
        <v>0</v>
      </c>
      <c r="H50" s="88">
        <v>0</v>
      </c>
      <c r="I50" s="88"/>
      <c r="J50" s="88"/>
      <c r="K50" s="88">
        <f t="shared" si="15"/>
        <v>0</v>
      </c>
      <c r="L50" s="88">
        <f t="shared" si="16"/>
        <v>0</v>
      </c>
      <c r="M50" s="88">
        <f t="shared" si="25"/>
        <v>300000</v>
      </c>
      <c r="N50" s="88">
        <f>4600000-620000-1000000</f>
        <v>2980000</v>
      </c>
      <c r="O50" s="88">
        <f t="shared" si="17"/>
        <v>11320000</v>
      </c>
      <c r="P50" s="88">
        <f t="shared" si="18"/>
        <v>0</v>
      </c>
      <c r="Q50" s="149">
        <v>300000</v>
      </c>
      <c r="R50" s="88"/>
      <c r="S50" s="88">
        <f t="shared" si="24"/>
        <v>300000</v>
      </c>
      <c r="T50" s="88">
        <f t="shared" si="19"/>
        <v>0</v>
      </c>
      <c r="U50" s="94">
        <f t="shared" si="20"/>
        <v>2980000</v>
      </c>
      <c r="V50" s="88">
        <f>4600000*0.8-1000000</f>
        <v>2680000</v>
      </c>
      <c r="W50" s="88">
        <f t="shared" si="21"/>
        <v>300000</v>
      </c>
      <c r="X50" s="88"/>
      <c r="Y50" s="84"/>
      <c r="Z50" s="84">
        <v>810000</v>
      </c>
    </row>
    <row r="51" spans="1:26" s="87" customFormat="1" x14ac:dyDescent="0.25">
      <c r="A51" s="84">
        <f t="shared" si="22"/>
        <v>38</v>
      </c>
      <c r="B51" s="110">
        <v>1851</v>
      </c>
      <c r="C51" s="110" t="s">
        <v>345</v>
      </c>
      <c r="D51" s="111">
        <v>3300000</v>
      </c>
      <c r="E51" s="111">
        <v>3300000</v>
      </c>
      <c r="F51" s="111">
        <f t="shared" si="14"/>
        <v>0</v>
      </c>
      <c r="G51" s="111">
        <v>3300000</v>
      </c>
      <c r="H51" s="111">
        <v>119368</v>
      </c>
      <c r="I51" s="111">
        <f>487364+4095</f>
        <v>491459</v>
      </c>
      <c r="J51" s="111">
        <f>1290275+155376+803929</f>
        <v>2249580</v>
      </c>
      <c r="K51" s="111">
        <f t="shared" si="15"/>
        <v>2741039</v>
      </c>
      <c r="L51" s="111">
        <f t="shared" si="16"/>
        <v>2860407</v>
      </c>
      <c r="M51" s="111">
        <f t="shared" si="25"/>
        <v>439593</v>
      </c>
      <c r="N51" s="111"/>
      <c r="O51" s="111">
        <f t="shared" si="17"/>
        <v>0</v>
      </c>
      <c r="P51" s="111">
        <f t="shared" si="18"/>
        <v>439593</v>
      </c>
      <c r="Q51" s="88"/>
      <c r="R51" s="88"/>
      <c r="S51" s="111">
        <f t="shared" si="24"/>
        <v>0</v>
      </c>
      <c r="T51" s="111">
        <f t="shared" si="19"/>
        <v>0</v>
      </c>
      <c r="U51" s="94">
        <f t="shared" si="20"/>
        <v>0</v>
      </c>
      <c r="V51" s="111"/>
      <c r="W51" s="88">
        <f t="shared" si="21"/>
        <v>0</v>
      </c>
      <c r="X51" s="111"/>
      <c r="Y51" s="110"/>
      <c r="Z51" s="110">
        <v>810000</v>
      </c>
    </row>
    <row r="52" spans="1:26" s="87" customFormat="1" x14ac:dyDescent="0.25">
      <c r="A52" s="84">
        <f t="shared" si="22"/>
        <v>39</v>
      </c>
      <c r="B52" s="84">
        <v>1855</v>
      </c>
      <c r="C52" s="93" t="s">
        <v>347</v>
      </c>
      <c r="D52" s="94">
        <f>600000-200000</f>
        <v>400000</v>
      </c>
      <c r="E52" s="88">
        <v>600000</v>
      </c>
      <c r="F52" s="88">
        <f t="shared" si="14"/>
        <v>-200000</v>
      </c>
      <c r="G52" s="88">
        <v>400000</v>
      </c>
      <c r="H52" s="88">
        <v>0</v>
      </c>
      <c r="I52" s="88">
        <v>300909.13</v>
      </c>
      <c r="J52" s="88"/>
      <c r="K52" s="88">
        <f t="shared" si="15"/>
        <v>300909.13</v>
      </c>
      <c r="L52" s="88">
        <f t="shared" si="16"/>
        <v>300909.13</v>
      </c>
      <c r="M52" s="88">
        <f t="shared" si="25"/>
        <v>99090.87</v>
      </c>
      <c r="N52" s="88"/>
      <c r="O52" s="88">
        <f t="shared" si="17"/>
        <v>0</v>
      </c>
      <c r="P52" s="88">
        <f t="shared" si="18"/>
        <v>99090.87</v>
      </c>
      <c r="Q52" s="88"/>
      <c r="R52" s="88"/>
      <c r="S52" s="88">
        <f t="shared" si="24"/>
        <v>0</v>
      </c>
      <c r="T52" s="88">
        <f t="shared" si="19"/>
        <v>0</v>
      </c>
      <c r="U52" s="94">
        <f t="shared" si="20"/>
        <v>0</v>
      </c>
      <c r="V52" s="88"/>
      <c r="W52" s="88">
        <f t="shared" si="21"/>
        <v>0</v>
      </c>
      <c r="X52" s="88"/>
      <c r="Y52" s="84"/>
      <c r="Z52" s="84">
        <v>810000</v>
      </c>
    </row>
    <row r="53" spans="1:26" s="87" customFormat="1" x14ac:dyDescent="0.25">
      <c r="A53" s="84">
        <f t="shared" si="22"/>
        <v>40</v>
      </c>
      <c r="B53" s="84">
        <v>1856</v>
      </c>
      <c r="C53" s="93" t="s">
        <v>348</v>
      </c>
      <c r="D53" s="94">
        <f>300000+30000-130000</f>
        <v>200000</v>
      </c>
      <c r="E53" s="88">
        <v>300000</v>
      </c>
      <c r="F53" s="88">
        <f t="shared" si="14"/>
        <v>-100000</v>
      </c>
      <c r="G53" s="88">
        <v>200000</v>
      </c>
      <c r="H53" s="88">
        <v>0</v>
      </c>
      <c r="I53" s="88">
        <v>199977.64</v>
      </c>
      <c r="J53" s="88"/>
      <c r="K53" s="88">
        <f t="shared" si="15"/>
        <v>199977.64</v>
      </c>
      <c r="L53" s="88">
        <f t="shared" si="16"/>
        <v>199977.64</v>
      </c>
      <c r="M53" s="88">
        <f t="shared" si="25"/>
        <v>22.35999999998603</v>
      </c>
      <c r="N53" s="88"/>
      <c r="O53" s="88">
        <f t="shared" si="17"/>
        <v>0</v>
      </c>
      <c r="P53" s="88">
        <f t="shared" si="18"/>
        <v>22.35999999998603</v>
      </c>
      <c r="Q53" s="88"/>
      <c r="R53" s="88"/>
      <c r="S53" s="88">
        <f t="shared" si="24"/>
        <v>0</v>
      </c>
      <c r="T53" s="88">
        <f t="shared" si="19"/>
        <v>0</v>
      </c>
      <c r="U53" s="94">
        <f t="shared" si="20"/>
        <v>0</v>
      </c>
      <c r="V53" s="88"/>
      <c r="W53" s="88">
        <f t="shared" si="21"/>
        <v>0</v>
      </c>
      <c r="X53" s="88"/>
      <c r="Y53" s="84"/>
      <c r="Z53" s="84">
        <v>810000</v>
      </c>
    </row>
    <row r="54" spans="1:26" s="87" customFormat="1" x14ac:dyDescent="0.25">
      <c r="A54" s="84">
        <f t="shared" si="22"/>
        <v>41</v>
      </c>
      <c r="B54" s="110">
        <v>1883</v>
      </c>
      <c r="C54" s="110" t="s">
        <v>349</v>
      </c>
      <c r="D54" s="111">
        <v>16500000</v>
      </c>
      <c r="E54" s="111">
        <v>16500000</v>
      </c>
      <c r="F54" s="111">
        <f t="shared" si="14"/>
        <v>0</v>
      </c>
      <c r="G54" s="111">
        <v>8300000</v>
      </c>
      <c r="H54" s="111">
        <v>116821.01</v>
      </c>
      <c r="I54" s="111">
        <v>26325</v>
      </c>
      <c r="J54" s="111">
        <v>466620.25</v>
      </c>
      <c r="K54" s="111">
        <f t="shared" si="15"/>
        <v>492945.25</v>
      </c>
      <c r="L54" s="111">
        <f t="shared" si="16"/>
        <v>609766.26</v>
      </c>
      <c r="M54" s="111">
        <f t="shared" si="25"/>
        <v>8190233.7400000002</v>
      </c>
      <c r="N54" s="111">
        <f>8200000-500000</f>
        <v>7700000</v>
      </c>
      <c r="O54" s="111">
        <f t="shared" si="17"/>
        <v>0</v>
      </c>
      <c r="P54" s="111">
        <f t="shared" si="18"/>
        <v>7690233.7400000002</v>
      </c>
      <c r="Q54" s="88"/>
      <c r="R54" s="88">
        <v>500000</v>
      </c>
      <c r="S54" s="111">
        <f t="shared" si="24"/>
        <v>500000</v>
      </c>
      <c r="T54" s="111">
        <f t="shared" si="19"/>
        <v>0</v>
      </c>
      <c r="U54" s="94">
        <f t="shared" si="20"/>
        <v>7700000</v>
      </c>
      <c r="V54" s="111">
        <v>6000000</v>
      </c>
      <c r="W54" s="88">
        <f t="shared" si="21"/>
        <v>1700000</v>
      </c>
      <c r="X54" s="111"/>
      <c r="Y54" s="110"/>
      <c r="Z54" s="110">
        <v>810000</v>
      </c>
    </row>
    <row r="55" spans="1:26" s="87" customFormat="1" x14ac:dyDescent="0.25">
      <c r="A55" s="84">
        <f t="shared" si="22"/>
        <v>42</v>
      </c>
      <c r="B55" s="110">
        <v>1884</v>
      </c>
      <c r="C55" s="110" t="s">
        <v>350</v>
      </c>
      <c r="D55" s="111">
        <v>2100000</v>
      </c>
      <c r="E55" s="111">
        <v>2100000</v>
      </c>
      <c r="F55" s="111"/>
      <c r="G55" s="111">
        <f>1500000+600000</f>
        <v>2100000</v>
      </c>
      <c r="H55" s="111">
        <v>0</v>
      </c>
      <c r="I55" s="111">
        <v>2015142</v>
      </c>
      <c r="J55" s="111">
        <v>36387</v>
      </c>
      <c r="K55" s="111">
        <f t="shared" si="15"/>
        <v>2051529</v>
      </c>
      <c r="L55" s="111">
        <f t="shared" si="16"/>
        <v>2051529</v>
      </c>
      <c r="M55" s="111">
        <f t="shared" si="25"/>
        <v>48471</v>
      </c>
      <c r="N55" s="111"/>
      <c r="O55" s="111">
        <f t="shared" si="17"/>
        <v>0</v>
      </c>
      <c r="P55" s="111">
        <f t="shared" si="18"/>
        <v>48471</v>
      </c>
      <c r="Q55" s="88"/>
      <c r="R55" s="88"/>
      <c r="S55" s="111">
        <f t="shared" si="24"/>
        <v>0</v>
      </c>
      <c r="T55" s="111">
        <f t="shared" si="19"/>
        <v>0</v>
      </c>
      <c r="U55" s="94">
        <f t="shared" si="20"/>
        <v>0</v>
      </c>
      <c r="V55" s="111"/>
      <c r="W55" s="88">
        <f t="shared" si="21"/>
        <v>0</v>
      </c>
      <c r="X55" s="111"/>
      <c r="Y55" s="110"/>
      <c r="Z55" s="110">
        <v>810000</v>
      </c>
    </row>
    <row r="56" spans="1:26" s="87" customFormat="1" x14ac:dyDescent="0.25">
      <c r="A56" s="84">
        <f t="shared" si="22"/>
        <v>43</v>
      </c>
      <c r="B56" s="110">
        <v>1885</v>
      </c>
      <c r="C56" s="110" t="s">
        <v>443</v>
      </c>
      <c r="D56" s="111">
        <f>450000-150000</f>
        <v>300000</v>
      </c>
      <c r="E56" s="111">
        <v>300000</v>
      </c>
      <c r="F56" s="111">
        <f t="shared" ref="F56:F74" si="26">D56-E56</f>
        <v>0</v>
      </c>
      <c r="G56" s="111">
        <v>300000</v>
      </c>
      <c r="H56" s="111">
        <v>0</v>
      </c>
      <c r="I56" s="111">
        <v>286019.98</v>
      </c>
      <c r="J56" s="111"/>
      <c r="K56" s="111">
        <f t="shared" si="15"/>
        <v>286019.98</v>
      </c>
      <c r="L56" s="111">
        <f t="shared" si="16"/>
        <v>286019.98</v>
      </c>
      <c r="M56" s="111">
        <f t="shared" si="25"/>
        <v>13980.020000000019</v>
      </c>
      <c r="N56" s="111"/>
      <c r="O56" s="111">
        <f t="shared" si="17"/>
        <v>0</v>
      </c>
      <c r="P56" s="111">
        <f t="shared" si="18"/>
        <v>13980.020000000019</v>
      </c>
      <c r="Q56" s="88"/>
      <c r="R56" s="88"/>
      <c r="S56" s="111">
        <f t="shared" si="24"/>
        <v>0</v>
      </c>
      <c r="T56" s="111">
        <f t="shared" si="19"/>
        <v>0</v>
      </c>
      <c r="U56" s="94">
        <f t="shared" si="20"/>
        <v>0</v>
      </c>
      <c r="V56" s="111"/>
      <c r="W56" s="88">
        <f t="shared" si="21"/>
        <v>0</v>
      </c>
      <c r="X56" s="111"/>
      <c r="Y56" s="110"/>
      <c r="Z56" s="110">
        <v>810000</v>
      </c>
    </row>
    <row r="57" spans="1:26" s="87" customFormat="1" x14ac:dyDescent="0.25">
      <c r="A57" s="84">
        <f t="shared" si="22"/>
        <v>44</v>
      </c>
      <c r="B57" s="110">
        <v>1886</v>
      </c>
      <c r="C57" s="110" t="s">
        <v>548</v>
      </c>
      <c r="D57" s="111">
        <v>4830000</v>
      </c>
      <c r="E57" s="111">
        <v>4830000</v>
      </c>
      <c r="F57" s="111">
        <f t="shared" si="26"/>
        <v>0</v>
      </c>
      <c r="G57" s="111">
        <v>2300000</v>
      </c>
      <c r="H57" s="111">
        <v>0</v>
      </c>
      <c r="I57" s="111">
        <v>429836.88</v>
      </c>
      <c r="J57" s="111"/>
      <c r="K57" s="111">
        <f t="shared" si="15"/>
        <v>429836.88</v>
      </c>
      <c r="L57" s="111">
        <f t="shared" si="16"/>
        <v>429836.88</v>
      </c>
      <c r="M57" s="111">
        <f t="shared" si="25"/>
        <v>4400163.12</v>
      </c>
      <c r="N57" s="111"/>
      <c r="O57" s="111">
        <f t="shared" si="17"/>
        <v>0</v>
      </c>
      <c r="P57" s="111">
        <f t="shared" si="18"/>
        <v>1870163.12</v>
      </c>
      <c r="Q57" s="88"/>
      <c r="R57" s="88">
        <v>2530000</v>
      </c>
      <c r="S57" s="111">
        <f t="shared" si="24"/>
        <v>2530000</v>
      </c>
      <c r="T57" s="111">
        <f t="shared" si="19"/>
        <v>0</v>
      </c>
      <c r="U57" s="94">
        <f t="shared" si="20"/>
        <v>0</v>
      </c>
      <c r="V57" s="111"/>
      <c r="W57" s="88">
        <f t="shared" si="21"/>
        <v>0</v>
      </c>
      <c r="X57" s="111"/>
      <c r="Y57" s="88"/>
      <c r="Z57" s="110">
        <v>810000</v>
      </c>
    </row>
    <row r="58" spans="1:26" s="87" customFormat="1" x14ac:dyDescent="0.25">
      <c r="A58" s="84">
        <f t="shared" si="22"/>
        <v>45</v>
      </c>
      <c r="B58" s="110">
        <v>1887</v>
      </c>
      <c r="C58" s="110" t="s">
        <v>351</v>
      </c>
      <c r="D58" s="111">
        <v>2000000</v>
      </c>
      <c r="E58" s="111">
        <v>2000000</v>
      </c>
      <c r="F58" s="111">
        <f t="shared" si="26"/>
        <v>0</v>
      </c>
      <c r="G58" s="111">
        <v>2000000</v>
      </c>
      <c r="H58" s="111">
        <v>140094.09</v>
      </c>
      <c r="I58" s="111">
        <v>623615.43999999994</v>
      </c>
      <c r="J58" s="111">
        <v>19305</v>
      </c>
      <c r="K58" s="111">
        <f t="shared" si="15"/>
        <v>642920.43999999994</v>
      </c>
      <c r="L58" s="111">
        <f t="shared" si="16"/>
        <v>783014.52999999991</v>
      </c>
      <c r="M58" s="111">
        <f t="shared" si="25"/>
        <v>1216985.4700000002</v>
      </c>
      <c r="N58" s="111"/>
      <c r="O58" s="111">
        <f t="shared" si="17"/>
        <v>0</v>
      </c>
      <c r="P58" s="111">
        <f t="shared" si="18"/>
        <v>1216985.4700000002</v>
      </c>
      <c r="Q58" s="88"/>
      <c r="R58" s="88"/>
      <c r="S58" s="111">
        <f t="shared" si="24"/>
        <v>0</v>
      </c>
      <c r="T58" s="111">
        <f t="shared" si="19"/>
        <v>0</v>
      </c>
      <c r="U58" s="94">
        <f t="shared" si="20"/>
        <v>0</v>
      </c>
      <c r="V58" s="111"/>
      <c r="W58" s="88">
        <f t="shared" si="21"/>
        <v>0</v>
      </c>
      <c r="X58" s="111"/>
      <c r="Y58" s="110"/>
      <c r="Z58" s="110">
        <v>810000</v>
      </c>
    </row>
    <row r="59" spans="1:26" s="87" customFormat="1" x14ac:dyDescent="0.25">
      <c r="A59" s="84">
        <f t="shared" si="22"/>
        <v>46</v>
      </c>
      <c r="B59" s="84">
        <v>1889</v>
      </c>
      <c r="C59" s="84" t="s">
        <v>364</v>
      </c>
      <c r="D59" s="88">
        <v>1450000</v>
      </c>
      <c r="E59" s="88">
        <v>1450000</v>
      </c>
      <c r="F59" s="111">
        <f t="shared" si="26"/>
        <v>0</v>
      </c>
      <c r="G59" s="88">
        <f>1200000+250000</f>
        <v>1450000</v>
      </c>
      <c r="H59" s="88">
        <v>0</v>
      </c>
      <c r="I59" s="88">
        <v>1199984.57</v>
      </c>
      <c r="J59" s="88"/>
      <c r="K59" s="88">
        <f t="shared" si="15"/>
        <v>1199984.57</v>
      </c>
      <c r="L59" s="88">
        <f t="shared" si="16"/>
        <v>1199984.57</v>
      </c>
      <c r="M59" s="88">
        <f t="shared" si="25"/>
        <v>250015.42999999993</v>
      </c>
      <c r="N59" s="88"/>
      <c r="O59" s="88">
        <f t="shared" si="17"/>
        <v>0</v>
      </c>
      <c r="P59" s="88">
        <f t="shared" si="18"/>
        <v>250015.42999999993</v>
      </c>
      <c r="Q59" s="88"/>
      <c r="R59" s="88"/>
      <c r="S59" s="88">
        <f t="shared" si="24"/>
        <v>0</v>
      </c>
      <c r="T59" s="88">
        <f t="shared" si="19"/>
        <v>0</v>
      </c>
      <c r="U59" s="94">
        <f t="shared" si="20"/>
        <v>0</v>
      </c>
      <c r="V59" s="88"/>
      <c r="W59" s="88">
        <f t="shared" si="21"/>
        <v>0</v>
      </c>
      <c r="X59" s="88"/>
      <c r="Y59" s="84"/>
      <c r="Z59" s="84">
        <v>810000</v>
      </c>
    </row>
    <row r="60" spans="1:26" s="87" customFormat="1" x14ac:dyDescent="0.25">
      <c r="A60" s="84">
        <f t="shared" si="22"/>
        <v>47</v>
      </c>
      <c r="B60" s="84">
        <v>1900</v>
      </c>
      <c r="C60" s="84" t="s">
        <v>354</v>
      </c>
      <c r="D60" s="88">
        <v>700000</v>
      </c>
      <c r="E60" s="88">
        <v>700000</v>
      </c>
      <c r="F60" s="111">
        <f t="shared" si="26"/>
        <v>0</v>
      </c>
      <c r="G60" s="88">
        <v>700000</v>
      </c>
      <c r="H60" s="88">
        <v>0</v>
      </c>
      <c r="I60" s="88">
        <v>28080</v>
      </c>
      <c r="J60" s="88"/>
      <c r="K60" s="88">
        <f t="shared" si="15"/>
        <v>28080</v>
      </c>
      <c r="L60" s="88">
        <f t="shared" si="16"/>
        <v>28080</v>
      </c>
      <c r="M60" s="88">
        <f t="shared" si="25"/>
        <v>671920</v>
      </c>
      <c r="N60" s="88"/>
      <c r="O60" s="88">
        <f t="shared" si="17"/>
        <v>0</v>
      </c>
      <c r="P60" s="88">
        <f t="shared" si="18"/>
        <v>671920</v>
      </c>
      <c r="Q60" s="88"/>
      <c r="R60" s="88"/>
      <c r="S60" s="88">
        <f t="shared" si="24"/>
        <v>0</v>
      </c>
      <c r="T60" s="88">
        <f t="shared" si="19"/>
        <v>0</v>
      </c>
      <c r="U60" s="94">
        <f t="shared" si="20"/>
        <v>0</v>
      </c>
      <c r="V60" s="88"/>
      <c r="W60" s="88">
        <f t="shared" si="21"/>
        <v>0</v>
      </c>
      <c r="X60" s="88"/>
      <c r="Y60" s="84"/>
      <c r="Z60" s="84">
        <v>810000</v>
      </c>
    </row>
    <row r="61" spans="1:26" s="87" customFormat="1" x14ac:dyDescent="0.25">
      <c r="A61" s="84">
        <f t="shared" si="22"/>
        <v>48</v>
      </c>
      <c r="B61" s="84">
        <v>1926</v>
      </c>
      <c r="C61" s="84" t="s">
        <v>359</v>
      </c>
      <c r="D61" s="88">
        <v>850000</v>
      </c>
      <c r="E61" s="88">
        <v>850000</v>
      </c>
      <c r="F61" s="111">
        <f t="shared" si="26"/>
        <v>0</v>
      </c>
      <c r="G61" s="88">
        <v>600000</v>
      </c>
      <c r="H61" s="88">
        <v>0</v>
      </c>
      <c r="I61" s="88">
        <v>263641</v>
      </c>
      <c r="J61" s="88"/>
      <c r="K61" s="88">
        <f t="shared" si="15"/>
        <v>263641</v>
      </c>
      <c r="L61" s="88">
        <f t="shared" si="16"/>
        <v>263641</v>
      </c>
      <c r="M61" s="88">
        <f t="shared" si="25"/>
        <v>586359</v>
      </c>
      <c r="N61" s="88"/>
      <c r="O61" s="88">
        <f t="shared" si="17"/>
        <v>0</v>
      </c>
      <c r="P61" s="88">
        <f t="shared" si="18"/>
        <v>336359</v>
      </c>
      <c r="Q61" s="88"/>
      <c r="R61" s="199">
        <v>250000</v>
      </c>
      <c r="S61" s="88">
        <f t="shared" si="24"/>
        <v>250000</v>
      </c>
      <c r="T61" s="88">
        <f t="shared" si="19"/>
        <v>0</v>
      </c>
      <c r="U61" s="94">
        <f t="shared" si="20"/>
        <v>0</v>
      </c>
      <c r="V61" s="88"/>
      <c r="W61" s="88">
        <f t="shared" si="21"/>
        <v>0</v>
      </c>
      <c r="X61" s="88"/>
      <c r="Y61" s="84"/>
      <c r="Z61" s="84">
        <v>810000</v>
      </c>
    </row>
    <row r="62" spans="1:26" s="87" customFormat="1" x14ac:dyDescent="0.25">
      <c r="A62" s="84">
        <f t="shared" si="22"/>
        <v>49</v>
      </c>
      <c r="B62" s="84">
        <v>1931</v>
      </c>
      <c r="C62" s="84" t="s">
        <v>363</v>
      </c>
      <c r="D62" s="88">
        <v>831000</v>
      </c>
      <c r="E62" s="88">
        <v>831000</v>
      </c>
      <c r="F62" s="111">
        <f t="shared" si="26"/>
        <v>0</v>
      </c>
      <c r="G62" s="88">
        <v>0</v>
      </c>
      <c r="H62" s="88">
        <v>0</v>
      </c>
      <c r="I62" s="88"/>
      <c r="J62" s="88"/>
      <c r="K62" s="88">
        <f t="shared" si="15"/>
        <v>0</v>
      </c>
      <c r="L62" s="88">
        <f t="shared" si="16"/>
        <v>0</v>
      </c>
      <c r="M62" s="88">
        <f t="shared" si="25"/>
        <v>415000</v>
      </c>
      <c r="N62" s="88">
        <v>416000</v>
      </c>
      <c r="O62" s="88">
        <f t="shared" si="17"/>
        <v>0</v>
      </c>
      <c r="P62" s="88">
        <f t="shared" si="18"/>
        <v>0</v>
      </c>
      <c r="Q62" s="88"/>
      <c r="R62" s="199">
        <f>831000-416000</f>
        <v>415000</v>
      </c>
      <c r="S62" s="88">
        <f t="shared" si="24"/>
        <v>415000</v>
      </c>
      <c r="T62" s="88">
        <f t="shared" si="19"/>
        <v>0</v>
      </c>
      <c r="U62" s="94">
        <f t="shared" si="20"/>
        <v>416000</v>
      </c>
      <c r="V62" s="88"/>
      <c r="W62" s="88">
        <f t="shared" si="21"/>
        <v>416000</v>
      </c>
      <c r="X62" s="88"/>
      <c r="Y62" s="84"/>
      <c r="Z62" s="84">
        <v>810000</v>
      </c>
    </row>
    <row r="63" spans="1:26" s="87" customFormat="1" x14ac:dyDescent="0.25">
      <c r="A63" s="84">
        <f t="shared" si="22"/>
        <v>50</v>
      </c>
      <c r="B63" s="84">
        <v>1933</v>
      </c>
      <c r="C63" s="84" t="s">
        <v>444</v>
      </c>
      <c r="D63" s="88">
        <v>200000</v>
      </c>
      <c r="E63" s="88">
        <v>200000</v>
      </c>
      <c r="F63" s="111">
        <f t="shared" si="26"/>
        <v>0</v>
      </c>
      <c r="G63" s="88">
        <v>200000</v>
      </c>
      <c r="H63" s="88">
        <v>0</v>
      </c>
      <c r="I63" s="88"/>
      <c r="J63" s="88"/>
      <c r="K63" s="88">
        <f t="shared" si="15"/>
        <v>0</v>
      </c>
      <c r="L63" s="88">
        <f t="shared" si="16"/>
        <v>0</v>
      </c>
      <c r="M63" s="88">
        <f t="shared" si="25"/>
        <v>200000</v>
      </c>
      <c r="N63" s="88"/>
      <c r="O63" s="88">
        <f t="shared" si="17"/>
        <v>0</v>
      </c>
      <c r="P63" s="88">
        <f t="shared" si="18"/>
        <v>200000</v>
      </c>
      <c r="Q63" s="88"/>
      <c r="R63" s="88"/>
      <c r="S63" s="88">
        <f t="shared" si="24"/>
        <v>0</v>
      </c>
      <c r="T63" s="88">
        <f t="shared" si="19"/>
        <v>0</v>
      </c>
      <c r="U63" s="94">
        <f t="shared" si="20"/>
        <v>0</v>
      </c>
      <c r="V63" s="88"/>
      <c r="W63" s="88">
        <f t="shared" si="21"/>
        <v>0</v>
      </c>
      <c r="X63" s="88"/>
      <c r="Y63" s="84"/>
      <c r="Z63" s="84">
        <v>810000</v>
      </c>
    </row>
    <row r="64" spans="1:26" s="87" customFormat="1" x14ac:dyDescent="0.25">
      <c r="A64" s="84">
        <f t="shared" si="22"/>
        <v>51</v>
      </c>
      <c r="B64" s="84">
        <v>1946</v>
      </c>
      <c r="C64" s="84" t="s">
        <v>549</v>
      </c>
      <c r="D64" s="88">
        <v>590000</v>
      </c>
      <c r="E64" s="88">
        <v>590000</v>
      </c>
      <c r="F64" s="111">
        <f t="shared" si="26"/>
        <v>0</v>
      </c>
      <c r="G64" s="88"/>
      <c r="H64" s="88"/>
      <c r="I64" s="88"/>
      <c r="J64" s="88"/>
      <c r="K64" s="88">
        <f t="shared" si="15"/>
        <v>0</v>
      </c>
      <c r="L64" s="88">
        <f t="shared" si="16"/>
        <v>0</v>
      </c>
      <c r="M64" s="88">
        <f t="shared" si="25"/>
        <v>590000</v>
      </c>
      <c r="N64" s="88"/>
      <c r="O64" s="88">
        <f t="shared" si="17"/>
        <v>0</v>
      </c>
      <c r="P64" s="88">
        <f t="shared" si="18"/>
        <v>0</v>
      </c>
      <c r="Q64" s="88"/>
      <c r="R64" s="88">
        <v>590000</v>
      </c>
      <c r="S64" s="88">
        <f t="shared" si="24"/>
        <v>590000</v>
      </c>
      <c r="T64" s="88">
        <f t="shared" si="19"/>
        <v>0</v>
      </c>
      <c r="U64" s="94">
        <f t="shared" si="20"/>
        <v>0</v>
      </c>
      <c r="V64" s="88"/>
      <c r="W64" s="88">
        <f t="shared" si="21"/>
        <v>0</v>
      </c>
      <c r="X64" s="88"/>
      <c r="Y64" s="84"/>
      <c r="Z64" s="84">
        <v>810000</v>
      </c>
    </row>
    <row r="65" spans="1:39" s="87" customFormat="1" x14ac:dyDescent="0.25">
      <c r="A65" s="84">
        <f t="shared" si="22"/>
        <v>52</v>
      </c>
      <c r="B65" s="84">
        <v>1967</v>
      </c>
      <c r="C65" s="84" t="s">
        <v>447</v>
      </c>
      <c r="D65" s="88">
        <v>2000000</v>
      </c>
      <c r="E65" s="88"/>
      <c r="F65" s="111">
        <f t="shared" si="26"/>
        <v>2000000</v>
      </c>
      <c r="G65" s="88"/>
      <c r="H65" s="88"/>
      <c r="I65" s="88"/>
      <c r="J65" s="88"/>
      <c r="K65" s="88">
        <f t="shared" si="15"/>
        <v>0</v>
      </c>
      <c r="L65" s="88">
        <f t="shared" si="16"/>
        <v>0</v>
      </c>
      <c r="M65" s="88">
        <f t="shared" si="25"/>
        <v>0</v>
      </c>
      <c r="N65" s="88">
        <f>2000000-500000</f>
        <v>1500000</v>
      </c>
      <c r="O65" s="88">
        <f t="shared" si="17"/>
        <v>500000</v>
      </c>
      <c r="P65" s="88">
        <f t="shared" si="18"/>
        <v>0</v>
      </c>
      <c r="Q65" s="88"/>
      <c r="R65" s="88"/>
      <c r="S65" s="88">
        <f t="shared" si="24"/>
        <v>0</v>
      </c>
      <c r="T65" s="88">
        <f t="shared" si="19"/>
        <v>0</v>
      </c>
      <c r="U65" s="94">
        <f t="shared" si="20"/>
        <v>1500000</v>
      </c>
      <c r="V65" s="88">
        <v>1500000</v>
      </c>
      <c r="W65" s="88">
        <f t="shared" si="21"/>
        <v>0</v>
      </c>
      <c r="X65" s="88"/>
      <c r="Y65" s="88"/>
      <c r="Z65" s="84">
        <v>810000</v>
      </c>
    </row>
    <row r="66" spans="1:39" s="87" customFormat="1" x14ac:dyDescent="0.25">
      <c r="A66" s="84">
        <f t="shared" si="22"/>
        <v>53</v>
      </c>
      <c r="B66" s="84">
        <v>1969</v>
      </c>
      <c r="C66" s="84" t="s">
        <v>449</v>
      </c>
      <c r="D66" s="88">
        <v>1485000</v>
      </c>
      <c r="E66" s="88"/>
      <c r="F66" s="111">
        <f t="shared" si="26"/>
        <v>1485000</v>
      </c>
      <c r="G66" s="88"/>
      <c r="H66" s="88"/>
      <c r="I66" s="88"/>
      <c r="J66" s="88"/>
      <c r="K66" s="88">
        <f t="shared" si="15"/>
        <v>0</v>
      </c>
      <c r="L66" s="88">
        <f t="shared" si="16"/>
        <v>0</v>
      </c>
      <c r="M66" s="88">
        <f t="shared" si="25"/>
        <v>0</v>
      </c>
      <c r="N66" s="88">
        <f>700000-200000</f>
        <v>500000</v>
      </c>
      <c r="O66" s="88">
        <f t="shared" si="17"/>
        <v>985000</v>
      </c>
      <c r="P66" s="88">
        <f t="shared" si="18"/>
        <v>0</v>
      </c>
      <c r="Q66" s="88"/>
      <c r="R66" s="88"/>
      <c r="S66" s="88">
        <f t="shared" si="24"/>
        <v>0</v>
      </c>
      <c r="T66" s="88">
        <f t="shared" si="19"/>
        <v>0</v>
      </c>
      <c r="U66" s="94">
        <f t="shared" si="20"/>
        <v>500000</v>
      </c>
      <c r="V66" s="88">
        <v>500000</v>
      </c>
      <c r="W66" s="88">
        <f t="shared" si="21"/>
        <v>0</v>
      </c>
      <c r="X66" s="88"/>
      <c r="Y66" s="84"/>
      <c r="Z66" s="84">
        <v>810000</v>
      </c>
    </row>
    <row r="67" spans="1:39" s="87" customFormat="1" x14ac:dyDescent="0.25">
      <c r="A67" s="84">
        <f t="shared" si="22"/>
        <v>54</v>
      </c>
      <c r="B67" s="84">
        <v>1970</v>
      </c>
      <c r="C67" s="84" t="s">
        <v>508</v>
      </c>
      <c r="D67" s="88">
        <f>2200000+500000</f>
        <v>2700000</v>
      </c>
      <c r="E67" s="88"/>
      <c r="F67" s="111">
        <f t="shared" si="26"/>
        <v>2700000</v>
      </c>
      <c r="G67" s="88"/>
      <c r="H67" s="88"/>
      <c r="I67" s="88"/>
      <c r="J67" s="88"/>
      <c r="K67" s="88">
        <f t="shared" si="15"/>
        <v>0</v>
      </c>
      <c r="L67" s="88">
        <f t="shared" si="16"/>
        <v>0</v>
      </c>
      <c r="M67" s="88">
        <f t="shared" si="25"/>
        <v>0</v>
      </c>
      <c r="N67" s="88">
        <f>2200000+500000</f>
        <v>2700000</v>
      </c>
      <c r="O67" s="88">
        <f t="shared" si="17"/>
        <v>0</v>
      </c>
      <c r="P67" s="88">
        <f t="shared" si="18"/>
        <v>0</v>
      </c>
      <c r="Q67" s="88"/>
      <c r="R67" s="88"/>
      <c r="S67" s="88">
        <f t="shared" si="24"/>
        <v>0</v>
      </c>
      <c r="T67" s="88">
        <f t="shared" si="19"/>
        <v>0</v>
      </c>
      <c r="U67" s="94">
        <f t="shared" si="20"/>
        <v>2700000</v>
      </c>
      <c r="V67" s="88"/>
      <c r="W67" s="88">
        <f t="shared" si="21"/>
        <v>2700000</v>
      </c>
      <c r="X67" s="88"/>
      <c r="Y67" s="84"/>
      <c r="Z67" s="84">
        <v>810000</v>
      </c>
    </row>
    <row r="68" spans="1:39" s="87" customFormat="1" x14ac:dyDescent="0.25">
      <c r="A68" s="84">
        <f t="shared" si="22"/>
        <v>55</v>
      </c>
      <c r="B68" s="84">
        <v>1474</v>
      </c>
      <c r="C68" s="84" t="s">
        <v>112</v>
      </c>
      <c r="D68" s="88">
        <f>4560000-2455000</f>
        <v>2105000</v>
      </c>
      <c r="E68" s="88">
        <v>4560000</v>
      </c>
      <c r="F68" s="88">
        <f t="shared" si="26"/>
        <v>-2455000</v>
      </c>
      <c r="G68" s="88">
        <v>1800000</v>
      </c>
      <c r="H68" s="88">
        <v>1491615.03</v>
      </c>
      <c r="I68" s="88">
        <v>307854.2</v>
      </c>
      <c r="J68" s="88"/>
      <c r="K68" s="88">
        <f t="shared" si="15"/>
        <v>307854.2</v>
      </c>
      <c r="L68" s="88">
        <f t="shared" si="16"/>
        <v>1799469.23</v>
      </c>
      <c r="M68" s="88">
        <f t="shared" si="25"/>
        <v>305530.77</v>
      </c>
      <c r="N68" s="88"/>
      <c r="O68" s="88">
        <f t="shared" si="17"/>
        <v>0</v>
      </c>
      <c r="P68" s="88">
        <f t="shared" si="18"/>
        <v>530.77000000001863</v>
      </c>
      <c r="Q68" s="88"/>
      <c r="R68" s="199">
        <v>305000</v>
      </c>
      <c r="S68" s="88">
        <f t="shared" si="24"/>
        <v>305000</v>
      </c>
      <c r="T68" s="88">
        <f t="shared" si="19"/>
        <v>0</v>
      </c>
      <c r="U68" s="94">
        <f t="shared" si="20"/>
        <v>0</v>
      </c>
      <c r="V68" s="88"/>
      <c r="W68" s="88">
        <f t="shared" si="21"/>
        <v>0</v>
      </c>
      <c r="X68" s="88"/>
      <c r="Y68" s="84"/>
      <c r="Z68" s="84">
        <v>812000</v>
      </c>
    </row>
    <row r="69" spans="1:39" s="87" customFormat="1" x14ac:dyDescent="0.25">
      <c r="A69" s="84">
        <f t="shared" si="22"/>
        <v>56</v>
      </c>
      <c r="B69" s="84">
        <v>1483</v>
      </c>
      <c r="C69" s="84" t="s">
        <v>118</v>
      </c>
      <c r="D69" s="88">
        <v>2700000</v>
      </c>
      <c r="E69" s="88">
        <v>2700000</v>
      </c>
      <c r="F69" s="88">
        <f t="shared" si="26"/>
        <v>0</v>
      </c>
      <c r="G69" s="88">
        <v>1200000</v>
      </c>
      <c r="H69" s="88">
        <v>1110871.24</v>
      </c>
      <c r="I69" s="88">
        <v>31259.62</v>
      </c>
      <c r="J69" s="88"/>
      <c r="K69" s="88">
        <f t="shared" si="15"/>
        <v>31259.62</v>
      </c>
      <c r="L69" s="88">
        <f t="shared" si="16"/>
        <v>1142130.8600000001</v>
      </c>
      <c r="M69" s="88">
        <f t="shared" si="25"/>
        <v>57869.139999999898</v>
      </c>
      <c r="N69" s="88">
        <v>300000</v>
      </c>
      <c r="O69" s="88">
        <f t="shared" si="17"/>
        <v>1200000</v>
      </c>
      <c r="P69" s="88">
        <f t="shared" si="18"/>
        <v>57869.139999999898</v>
      </c>
      <c r="Q69" s="88"/>
      <c r="R69" s="88"/>
      <c r="S69" s="88">
        <f t="shared" si="24"/>
        <v>0</v>
      </c>
      <c r="T69" s="88">
        <f t="shared" si="19"/>
        <v>0</v>
      </c>
      <c r="U69" s="94">
        <f t="shared" si="20"/>
        <v>300000</v>
      </c>
      <c r="V69" s="88"/>
      <c r="W69" s="88">
        <f t="shared" si="21"/>
        <v>300000</v>
      </c>
      <c r="X69" s="88"/>
      <c r="Y69" s="84"/>
      <c r="Z69" s="84">
        <v>812000</v>
      </c>
    </row>
    <row r="70" spans="1:39" s="87" customFormat="1" x14ac:dyDescent="0.25">
      <c r="A70" s="84">
        <f t="shared" si="22"/>
        <v>57</v>
      </c>
      <c r="B70" s="84">
        <v>1699</v>
      </c>
      <c r="C70" s="84" t="s">
        <v>129</v>
      </c>
      <c r="D70" s="88">
        <f>3130000-120000</f>
        <v>3010000</v>
      </c>
      <c r="E70" s="88">
        <v>3130000</v>
      </c>
      <c r="F70" s="88">
        <f t="shared" si="26"/>
        <v>-120000</v>
      </c>
      <c r="G70" s="88">
        <v>3130000</v>
      </c>
      <c r="H70" s="88">
        <v>2993334.65</v>
      </c>
      <c r="I70" s="88"/>
      <c r="J70" s="88">
        <v>16520</v>
      </c>
      <c r="K70" s="88">
        <f t="shared" si="15"/>
        <v>16520</v>
      </c>
      <c r="L70" s="88">
        <f t="shared" si="16"/>
        <v>3009854.65</v>
      </c>
      <c r="M70" s="88">
        <f>P70+S70-120000</f>
        <v>145.35000000009313</v>
      </c>
      <c r="N70" s="88"/>
      <c r="O70" s="88">
        <f t="shared" si="17"/>
        <v>0</v>
      </c>
      <c r="P70" s="88">
        <f t="shared" si="18"/>
        <v>120145.35000000009</v>
      </c>
      <c r="Q70" s="88"/>
      <c r="R70" s="88"/>
      <c r="S70" s="88">
        <f t="shared" si="24"/>
        <v>0</v>
      </c>
      <c r="T70" s="88">
        <f t="shared" si="19"/>
        <v>120000</v>
      </c>
      <c r="U70" s="94">
        <f t="shared" si="20"/>
        <v>-120000</v>
      </c>
      <c r="V70" s="88"/>
      <c r="W70" s="88">
        <f t="shared" si="21"/>
        <v>-120000</v>
      </c>
      <c r="X70" s="88"/>
      <c r="Y70" s="84"/>
      <c r="Z70" s="84">
        <v>817300</v>
      </c>
    </row>
    <row r="71" spans="1:39" s="87" customFormat="1" x14ac:dyDescent="0.25">
      <c r="A71" s="84">
        <f t="shared" si="22"/>
        <v>58</v>
      </c>
      <c r="B71" s="84">
        <v>1655</v>
      </c>
      <c r="C71" s="84" t="s">
        <v>125</v>
      </c>
      <c r="D71" s="88">
        <f>1350000-44000</f>
        <v>1306000</v>
      </c>
      <c r="E71" s="88">
        <v>1350000</v>
      </c>
      <c r="F71" s="88">
        <f t="shared" si="26"/>
        <v>-44000</v>
      </c>
      <c r="G71" s="88">
        <v>1350000</v>
      </c>
      <c r="H71" s="88">
        <v>1275024.18</v>
      </c>
      <c r="I71" s="88">
        <v>30585.83</v>
      </c>
      <c r="J71" s="88"/>
      <c r="K71" s="88">
        <f t="shared" si="15"/>
        <v>30585.83</v>
      </c>
      <c r="L71" s="88">
        <f t="shared" si="16"/>
        <v>1305610.01</v>
      </c>
      <c r="M71" s="88">
        <f>P71+S71-44000</f>
        <v>389.98999999999069</v>
      </c>
      <c r="N71" s="88"/>
      <c r="O71" s="88">
        <f t="shared" si="17"/>
        <v>0</v>
      </c>
      <c r="P71" s="88">
        <f t="shared" si="18"/>
        <v>44389.989999999991</v>
      </c>
      <c r="Q71" s="88"/>
      <c r="R71" s="88"/>
      <c r="S71" s="88">
        <f t="shared" si="24"/>
        <v>0</v>
      </c>
      <c r="T71" s="88">
        <f t="shared" si="19"/>
        <v>44000</v>
      </c>
      <c r="U71" s="94">
        <f t="shared" si="20"/>
        <v>-44000</v>
      </c>
      <c r="V71" s="88"/>
      <c r="W71" s="88">
        <f t="shared" si="21"/>
        <v>-44000</v>
      </c>
      <c r="X71" s="88"/>
      <c r="Y71" s="84"/>
      <c r="Z71" s="84">
        <v>824000</v>
      </c>
    </row>
    <row r="72" spans="1:39" s="87" customFormat="1" x14ac:dyDescent="0.25">
      <c r="A72" s="84">
        <f t="shared" si="22"/>
        <v>59</v>
      </c>
      <c r="B72" s="84">
        <v>1853</v>
      </c>
      <c r="C72" s="84" t="s">
        <v>346</v>
      </c>
      <c r="D72" s="88">
        <v>310000</v>
      </c>
      <c r="E72" s="88">
        <v>310000</v>
      </c>
      <c r="F72" s="88">
        <f t="shared" si="26"/>
        <v>0</v>
      </c>
      <c r="G72" s="88">
        <v>310000</v>
      </c>
      <c r="H72" s="88">
        <v>321</v>
      </c>
      <c r="I72" s="88">
        <v>46800</v>
      </c>
      <c r="J72" s="88">
        <v>185449</v>
      </c>
      <c r="K72" s="88">
        <f t="shared" si="15"/>
        <v>232249</v>
      </c>
      <c r="L72" s="88">
        <f t="shared" si="16"/>
        <v>232570</v>
      </c>
      <c r="M72" s="88">
        <f>P72+S72</f>
        <v>77430</v>
      </c>
      <c r="N72" s="88"/>
      <c r="O72" s="88">
        <f t="shared" si="17"/>
        <v>0</v>
      </c>
      <c r="P72" s="88">
        <f t="shared" si="18"/>
        <v>77430</v>
      </c>
      <c r="Q72" s="88"/>
      <c r="R72" s="88"/>
      <c r="S72" s="88">
        <f t="shared" si="24"/>
        <v>0</v>
      </c>
      <c r="T72" s="88">
        <f t="shared" si="19"/>
        <v>0</v>
      </c>
      <c r="U72" s="94">
        <f t="shared" si="20"/>
        <v>0</v>
      </c>
      <c r="V72" s="88"/>
      <c r="W72" s="88">
        <f t="shared" si="21"/>
        <v>0</v>
      </c>
      <c r="X72" s="88"/>
      <c r="Y72" s="84"/>
      <c r="Z72" s="84">
        <v>824000</v>
      </c>
    </row>
    <row r="73" spans="1:39" s="87" customFormat="1" x14ac:dyDescent="0.25">
      <c r="A73" s="84">
        <f t="shared" si="22"/>
        <v>60</v>
      </c>
      <c r="B73" s="84">
        <v>1916</v>
      </c>
      <c r="C73" s="84" t="s">
        <v>355</v>
      </c>
      <c r="D73" s="88">
        <v>300000</v>
      </c>
      <c r="E73" s="88">
        <v>300000</v>
      </c>
      <c r="F73" s="111">
        <f t="shared" si="26"/>
        <v>0</v>
      </c>
      <c r="G73" s="88">
        <v>0</v>
      </c>
      <c r="H73" s="88">
        <v>0</v>
      </c>
      <c r="I73" s="88"/>
      <c r="J73" s="88"/>
      <c r="K73" s="88">
        <f t="shared" si="15"/>
        <v>0</v>
      </c>
      <c r="L73" s="88">
        <f t="shared" si="16"/>
        <v>0</v>
      </c>
      <c r="M73" s="88">
        <f>P73+S73</f>
        <v>0</v>
      </c>
      <c r="N73" s="88">
        <v>300000</v>
      </c>
      <c r="O73" s="88">
        <f t="shared" si="17"/>
        <v>0</v>
      </c>
      <c r="P73" s="88">
        <f t="shared" si="18"/>
        <v>0</v>
      </c>
      <c r="Q73" s="88"/>
      <c r="R73" s="88">
        <f>300000-300000</f>
        <v>0</v>
      </c>
      <c r="S73" s="88">
        <f t="shared" si="24"/>
        <v>0</v>
      </c>
      <c r="T73" s="88">
        <f t="shared" si="19"/>
        <v>0</v>
      </c>
      <c r="U73" s="94">
        <f t="shared" si="20"/>
        <v>300000</v>
      </c>
      <c r="V73" s="88"/>
      <c r="W73" s="88">
        <f t="shared" si="21"/>
        <v>300000</v>
      </c>
      <c r="X73" s="88"/>
      <c r="Y73" s="84"/>
      <c r="Z73" s="84">
        <v>824000</v>
      </c>
    </row>
    <row r="74" spans="1:39" s="87" customFormat="1" x14ac:dyDescent="0.25">
      <c r="A74" s="84">
        <f t="shared" si="22"/>
        <v>61</v>
      </c>
      <c r="B74" s="93">
        <v>1350</v>
      </c>
      <c r="C74" s="93" t="s">
        <v>503</v>
      </c>
      <c r="D74" s="94">
        <v>1300000</v>
      </c>
      <c r="E74" s="94">
        <v>1300000</v>
      </c>
      <c r="F74" s="88">
        <f t="shared" si="26"/>
        <v>0</v>
      </c>
      <c r="G74" s="94">
        <v>550000</v>
      </c>
      <c r="H74" s="94">
        <v>435268.96</v>
      </c>
      <c r="I74" s="94">
        <v>28692.79</v>
      </c>
      <c r="J74" s="94"/>
      <c r="K74" s="94">
        <f t="shared" si="15"/>
        <v>28692.79</v>
      </c>
      <c r="L74" s="94">
        <f t="shared" si="16"/>
        <v>463961.75</v>
      </c>
      <c r="M74" s="94">
        <f>P74+S74</f>
        <v>136038.25</v>
      </c>
      <c r="N74" s="94">
        <f>450000-150000</f>
        <v>300000</v>
      </c>
      <c r="O74" s="94">
        <f t="shared" si="17"/>
        <v>400000</v>
      </c>
      <c r="P74" s="94">
        <f t="shared" si="18"/>
        <v>86038.25</v>
      </c>
      <c r="Q74" s="199">
        <v>50000</v>
      </c>
      <c r="R74" s="88"/>
      <c r="S74" s="94">
        <f t="shared" si="24"/>
        <v>50000</v>
      </c>
      <c r="T74" s="94">
        <f t="shared" si="19"/>
        <v>0</v>
      </c>
      <c r="U74" s="94">
        <f t="shared" si="20"/>
        <v>300000</v>
      </c>
      <c r="V74" s="94"/>
      <c r="W74" s="88">
        <f t="shared" si="21"/>
        <v>300000</v>
      </c>
      <c r="X74" s="94"/>
      <c r="Y74" s="93"/>
      <c r="Z74" s="93">
        <v>828900</v>
      </c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</row>
    <row r="75" spans="1:39" s="120" customFormat="1" ht="15.6" x14ac:dyDescent="0.25">
      <c r="A75" s="28"/>
      <c r="B75" s="379"/>
      <c r="C75" s="397" t="s">
        <v>758</v>
      </c>
      <c r="D75" s="210">
        <f>SUM(D29:D74)</f>
        <v>410444840</v>
      </c>
      <c r="E75" s="210">
        <f t="shared" ref="E75:Y75" si="27">SUM(E29:E74)</f>
        <v>431871840</v>
      </c>
      <c r="F75" s="210">
        <f t="shared" si="27"/>
        <v>-21427000</v>
      </c>
      <c r="G75" s="210">
        <f t="shared" si="27"/>
        <v>368170840</v>
      </c>
      <c r="H75" s="210">
        <f t="shared" si="27"/>
        <v>319478903.26999986</v>
      </c>
      <c r="I75" s="210">
        <f t="shared" si="27"/>
        <v>13791960.649999999</v>
      </c>
      <c r="J75" s="210">
        <f t="shared" si="27"/>
        <v>17119390.899999999</v>
      </c>
      <c r="K75" s="210">
        <f t="shared" si="27"/>
        <v>30911351.549999997</v>
      </c>
      <c r="L75" s="210">
        <f t="shared" si="27"/>
        <v>350390254.81999987</v>
      </c>
      <c r="M75" s="210">
        <f t="shared" si="27"/>
        <v>25343585.180000003</v>
      </c>
      <c r="N75" s="210">
        <f t="shared" si="27"/>
        <v>17406000</v>
      </c>
      <c r="O75" s="210">
        <f t="shared" si="27"/>
        <v>17305000</v>
      </c>
      <c r="P75" s="210">
        <f t="shared" si="27"/>
        <v>17780585.180000007</v>
      </c>
      <c r="Q75" s="210">
        <f t="shared" si="27"/>
        <v>1050000</v>
      </c>
      <c r="R75" s="210">
        <f t="shared" si="27"/>
        <v>7680000</v>
      </c>
      <c r="S75" s="210">
        <f t="shared" si="27"/>
        <v>8730000</v>
      </c>
      <c r="T75" s="210">
        <f t="shared" si="27"/>
        <v>1167000</v>
      </c>
      <c r="U75" s="210">
        <f t="shared" si="27"/>
        <v>16239000</v>
      </c>
      <c r="V75" s="210">
        <f t="shared" si="27"/>
        <v>10790000</v>
      </c>
      <c r="W75" s="210">
        <f t="shared" si="27"/>
        <v>5449000</v>
      </c>
      <c r="X75" s="210">
        <f t="shared" si="27"/>
        <v>0</v>
      </c>
      <c r="Y75" s="210">
        <f t="shared" si="27"/>
        <v>0</v>
      </c>
      <c r="Z75" s="379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</row>
    <row r="76" spans="1:39" s="87" customFormat="1" x14ac:dyDescent="0.25">
      <c r="A76" s="84"/>
      <c r="B76" s="93"/>
      <c r="C76" s="93"/>
      <c r="D76" s="94"/>
      <c r="E76" s="94"/>
      <c r="F76" s="88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199"/>
      <c r="R76" s="88"/>
      <c r="S76" s="94"/>
      <c r="T76" s="94"/>
      <c r="U76" s="94"/>
      <c r="V76" s="94"/>
      <c r="W76" s="88"/>
      <c r="X76" s="94"/>
      <c r="Y76" s="93"/>
      <c r="Z76" s="93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</row>
    <row r="77" spans="1:39" s="87" customFormat="1" x14ac:dyDescent="0.25">
      <c r="A77" s="84"/>
      <c r="B77" s="93"/>
      <c r="C77" s="93"/>
      <c r="D77" s="94"/>
      <c r="E77" s="94"/>
      <c r="F77" s="88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199"/>
      <c r="R77" s="88"/>
      <c r="S77" s="94"/>
      <c r="T77" s="94"/>
      <c r="U77" s="94"/>
      <c r="V77" s="94"/>
      <c r="W77" s="88"/>
      <c r="X77" s="94"/>
      <c r="Y77" s="93"/>
      <c r="Z77" s="93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</row>
    <row r="78" spans="1:39" s="87" customFormat="1" x14ac:dyDescent="0.25">
      <c r="A78" s="84">
        <f>A74+1</f>
        <v>62</v>
      </c>
      <c r="B78" s="84">
        <v>1968</v>
      </c>
      <c r="C78" s="84" t="s">
        <v>448</v>
      </c>
      <c r="D78" s="88">
        <v>1000000</v>
      </c>
      <c r="E78" s="88"/>
      <c r="F78" s="111">
        <f>D78-E78</f>
        <v>1000000</v>
      </c>
      <c r="G78" s="88"/>
      <c r="H78" s="88"/>
      <c r="I78" s="88"/>
      <c r="J78" s="88"/>
      <c r="K78" s="88">
        <f>SUM(I78:J78)</f>
        <v>0</v>
      </c>
      <c r="L78" s="88">
        <f>H78+K78</f>
        <v>0</v>
      </c>
      <c r="M78" s="88">
        <f>P78+S78</f>
        <v>0</v>
      </c>
      <c r="N78" s="88">
        <v>1000000</v>
      </c>
      <c r="O78" s="88">
        <f>D78-L78-M78-N78</f>
        <v>0</v>
      </c>
      <c r="P78" s="88">
        <f>G78-L78</f>
        <v>0</v>
      </c>
      <c r="Q78" s="88"/>
      <c r="R78" s="88"/>
      <c r="S78" s="88">
        <f>SUM(Q78:R78)</f>
        <v>0</v>
      </c>
      <c r="T78" s="88">
        <f>P78-M78+S78</f>
        <v>0</v>
      </c>
      <c r="U78" s="94">
        <f>N78-T78</f>
        <v>1000000</v>
      </c>
      <c r="V78" s="88"/>
      <c r="W78" s="88">
        <f>U78-V78-X78-Y78</f>
        <v>1000000</v>
      </c>
      <c r="X78" s="88"/>
      <c r="Y78" s="84"/>
      <c r="Z78" s="84">
        <v>848000</v>
      </c>
    </row>
    <row r="79" spans="1:39" s="120" customFormat="1" ht="15.6" x14ac:dyDescent="0.25">
      <c r="A79" s="28"/>
      <c r="B79" s="28"/>
      <c r="C79" s="28">
        <v>84</v>
      </c>
      <c r="D79" s="101">
        <f>SUM(D78)</f>
        <v>1000000</v>
      </c>
      <c r="E79" s="101">
        <f t="shared" ref="E79:Y79" si="28">SUM(E78)</f>
        <v>0</v>
      </c>
      <c r="F79" s="101">
        <f t="shared" si="28"/>
        <v>1000000</v>
      </c>
      <c r="G79" s="101">
        <f t="shared" si="28"/>
        <v>0</v>
      </c>
      <c r="H79" s="101">
        <f t="shared" si="28"/>
        <v>0</v>
      </c>
      <c r="I79" s="101">
        <f t="shared" si="28"/>
        <v>0</v>
      </c>
      <c r="J79" s="101">
        <f t="shared" si="28"/>
        <v>0</v>
      </c>
      <c r="K79" s="101">
        <f t="shared" si="28"/>
        <v>0</v>
      </c>
      <c r="L79" s="101">
        <f t="shared" si="28"/>
        <v>0</v>
      </c>
      <c r="M79" s="101">
        <f t="shared" si="28"/>
        <v>0</v>
      </c>
      <c r="N79" s="101">
        <f t="shared" si="28"/>
        <v>1000000</v>
      </c>
      <c r="O79" s="101">
        <f t="shared" si="28"/>
        <v>0</v>
      </c>
      <c r="P79" s="101">
        <f t="shared" si="28"/>
        <v>0</v>
      </c>
      <c r="Q79" s="101">
        <f t="shared" si="28"/>
        <v>0</v>
      </c>
      <c r="R79" s="101">
        <f t="shared" si="28"/>
        <v>0</v>
      </c>
      <c r="S79" s="101">
        <f t="shared" si="28"/>
        <v>0</v>
      </c>
      <c r="T79" s="101">
        <f t="shared" si="28"/>
        <v>0</v>
      </c>
      <c r="U79" s="101">
        <f t="shared" si="28"/>
        <v>1000000</v>
      </c>
      <c r="V79" s="101">
        <f t="shared" si="28"/>
        <v>0</v>
      </c>
      <c r="W79" s="101">
        <f t="shared" si="28"/>
        <v>1000000</v>
      </c>
      <c r="X79" s="101">
        <f t="shared" si="28"/>
        <v>0</v>
      </c>
      <c r="Y79" s="101">
        <f t="shared" si="28"/>
        <v>0</v>
      </c>
      <c r="Z79" s="28"/>
    </row>
    <row r="80" spans="1:39" s="87" customFormat="1" x14ac:dyDescent="0.25">
      <c r="A80" s="84"/>
      <c r="B80" s="84"/>
      <c r="C80" s="84"/>
      <c r="D80" s="88"/>
      <c r="E80" s="88"/>
      <c r="F80" s="111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396"/>
      <c r="S80" s="88"/>
      <c r="T80" s="88"/>
      <c r="U80" s="94"/>
      <c r="V80" s="88"/>
      <c r="W80" s="88"/>
      <c r="X80" s="88"/>
      <c r="Y80" s="84"/>
      <c r="Z80" s="84"/>
    </row>
    <row r="81" spans="1:39" s="87" customFormat="1" x14ac:dyDescent="0.25">
      <c r="A81" s="84">
        <f>A78+1</f>
        <v>63</v>
      </c>
      <c r="B81" s="84">
        <v>1253</v>
      </c>
      <c r="C81" s="84" t="s">
        <v>106</v>
      </c>
      <c r="D81" s="88">
        <f>3750000+150000</f>
        <v>3900000</v>
      </c>
      <c r="E81" s="88">
        <v>3700000</v>
      </c>
      <c r="F81" s="88">
        <f>D81-E81</f>
        <v>200000</v>
      </c>
      <c r="G81" s="88">
        <v>3200000</v>
      </c>
      <c r="H81" s="88">
        <v>2985192.85</v>
      </c>
      <c r="I81" s="88">
        <v>212596.41</v>
      </c>
      <c r="J81" s="88"/>
      <c r="K81" s="88">
        <f>SUM(I81:J81)</f>
        <v>212596.41</v>
      </c>
      <c r="L81" s="88">
        <f>H81+K81</f>
        <v>3197789.2600000002</v>
      </c>
      <c r="M81" s="88">
        <f>P81+S81</f>
        <v>202210.73999999976</v>
      </c>
      <c r="N81" s="88">
        <f>500000-200000</f>
        <v>300000</v>
      </c>
      <c r="O81" s="88">
        <f>D81-L81-M81-N81</f>
        <v>200000</v>
      </c>
      <c r="P81" s="88">
        <f>G81-L81</f>
        <v>2210.7399999997579</v>
      </c>
      <c r="Q81" s="149">
        <v>50000</v>
      </c>
      <c r="R81" s="203">
        <v>150000</v>
      </c>
      <c r="S81" s="88">
        <f>SUM(Q81:R81)</f>
        <v>200000</v>
      </c>
      <c r="T81" s="88">
        <f>P81-M81+S81</f>
        <v>0</v>
      </c>
      <c r="U81" s="94">
        <f>N81-T81</f>
        <v>300000</v>
      </c>
      <c r="V81" s="88"/>
      <c r="W81" s="88">
        <f>U81-V81-X81-Y81</f>
        <v>300000</v>
      </c>
      <c r="X81" s="88"/>
      <c r="Y81" s="84"/>
      <c r="Z81" s="84">
        <v>850000</v>
      </c>
    </row>
    <row r="82" spans="1:39" s="87" customFormat="1" x14ac:dyDescent="0.25">
      <c r="A82" s="84">
        <f>A81+1</f>
        <v>64</v>
      </c>
      <c r="B82" s="84">
        <v>1794</v>
      </c>
      <c r="C82" s="84" t="s">
        <v>291</v>
      </c>
      <c r="D82" s="88">
        <v>380000</v>
      </c>
      <c r="E82" s="88">
        <v>380000</v>
      </c>
      <c r="F82" s="88">
        <f>D82-E82</f>
        <v>0</v>
      </c>
      <c r="G82" s="88">
        <v>380000</v>
      </c>
      <c r="H82" s="88">
        <v>0</v>
      </c>
      <c r="I82" s="88">
        <v>379940.62</v>
      </c>
      <c r="J82" s="88"/>
      <c r="K82" s="88">
        <f>SUM(I82:J82)</f>
        <v>379940.62</v>
      </c>
      <c r="L82" s="88">
        <f>H82+K82</f>
        <v>379940.62</v>
      </c>
      <c r="M82" s="88">
        <f>P82+S82</f>
        <v>59.380000000004657</v>
      </c>
      <c r="N82" s="88"/>
      <c r="O82" s="88">
        <f>D82-L82-M82-N82</f>
        <v>0</v>
      </c>
      <c r="P82" s="88">
        <f>G82-L82</f>
        <v>59.380000000004657</v>
      </c>
      <c r="Q82" s="88"/>
      <c r="R82" s="88"/>
      <c r="S82" s="88">
        <f>SUM(Q82:R82)</f>
        <v>0</v>
      </c>
      <c r="T82" s="88">
        <f>P82-M82+S82</f>
        <v>0</v>
      </c>
      <c r="U82" s="94">
        <f>N82-T82</f>
        <v>0</v>
      </c>
      <c r="V82" s="88"/>
      <c r="W82" s="88">
        <f>U82-V82-X82-Y82</f>
        <v>0</v>
      </c>
      <c r="X82" s="88"/>
      <c r="Y82" s="84"/>
      <c r="Z82" s="84">
        <v>850000</v>
      </c>
    </row>
    <row r="83" spans="1:39" s="87" customFormat="1" x14ac:dyDescent="0.25">
      <c r="A83" s="84">
        <f>A82+1</f>
        <v>65</v>
      </c>
      <c r="B83" s="84">
        <v>1897</v>
      </c>
      <c r="C83" s="84" t="s">
        <v>353</v>
      </c>
      <c r="D83" s="88">
        <v>200000</v>
      </c>
      <c r="E83" s="88">
        <v>200000</v>
      </c>
      <c r="F83" s="111">
        <f>D83-E83</f>
        <v>0</v>
      </c>
      <c r="G83" s="88">
        <v>200000</v>
      </c>
      <c r="H83" s="88">
        <v>0</v>
      </c>
      <c r="I83" s="88">
        <v>182200.81</v>
      </c>
      <c r="J83" s="88"/>
      <c r="K83" s="88">
        <f>SUM(I83:J83)</f>
        <v>182200.81</v>
      </c>
      <c r="L83" s="88">
        <f>H83+K83</f>
        <v>182200.81</v>
      </c>
      <c r="M83" s="88">
        <f>P83+S83</f>
        <v>17799.190000000002</v>
      </c>
      <c r="N83" s="88"/>
      <c r="O83" s="88">
        <f>D83-L83-M83-N83</f>
        <v>0</v>
      </c>
      <c r="P83" s="88">
        <f>G83-L83</f>
        <v>17799.190000000002</v>
      </c>
      <c r="Q83" s="88"/>
      <c r="R83" s="88"/>
      <c r="S83" s="88">
        <f>SUM(Q83:R83)</f>
        <v>0</v>
      </c>
      <c r="T83" s="88">
        <f>P83-M83+S83</f>
        <v>0</v>
      </c>
      <c r="U83" s="94">
        <f>N83-T83</f>
        <v>0</v>
      </c>
      <c r="V83" s="88"/>
      <c r="W83" s="88">
        <f>U83-V83-X83-Y83</f>
        <v>0</v>
      </c>
      <c r="X83" s="88"/>
      <c r="Y83" s="84"/>
      <c r="Z83" s="84">
        <v>850000</v>
      </c>
    </row>
    <row r="84" spans="1:39" s="87" customFormat="1" x14ac:dyDescent="0.25">
      <c r="A84" s="84">
        <f>A83+1</f>
        <v>66</v>
      </c>
      <c r="B84" s="84">
        <v>1925</v>
      </c>
      <c r="C84" s="84" t="s">
        <v>358</v>
      </c>
      <c r="D84" s="88">
        <v>1000000</v>
      </c>
      <c r="E84" s="88">
        <v>1000000</v>
      </c>
      <c r="F84" s="111">
        <f>D84-E84</f>
        <v>0</v>
      </c>
      <c r="G84" s="88">
        <v>0</v>
      </c>
      <c r="H84" s="88">
        <v>0</v>
      </c>
      <c r="I84" s="88"/>
      <c r="J84" s="88"/>
      <c r="K84" s="88">
        <f>SUM(I84:J84)</f>
        <v>0</v>
      </c>
      <c r="L84" s="88">
        <f>H84+K84</f>
        <v>0</v>
      </c>
      <c r="M84" s="88">
        <f>P84+S84</f>
        <v>500000</v>
      </c>
      <c r="N84" s="88">
        <v>500000</v>
      </c>
      <c r="O84" s="88">
        <f>D84-L84-M84-N84</f>
        <v>0</v>
      </c>
      <c r="P84" s="88">
        <f>G84-L84</f>
        <v>0</v>
      </c>
      <c r="Q84" s="88"/>
      <c r="R84" s="199">
        <f>1000000-500000</f>
        <v>500000</v>
      </c>
      <c r="S84" s="88">
        <f>SUM(Q84:R84)</f>
        <v>500000</v>
      </c>
      <c r="T84" s="88">
        <f>P84-M84+S84</f>
        <v>0</v>
      </c>
      <c r="U84" s="94">
        <f>N84-T84</f>
        <v>500000</v>
      </c>
      <c r="V84" s="88"/>
      <c r="W84" s="88">
        <f>U84-V84-X84-Y84</f>
        <v>500000</v>
      </c>
      <c r="X84" s="88"/>
      <c r="Y84" s="84"/>
      <c r="Z84" s="84">
        <v>850000</v>
      </c>
    </row>
    <row r="85" spans="1:39" s="87" customFormat="1" x14ac:dyDescent="0.25">
      <c r="A85" s="84">
        <f>A84+1</f>
        <v>67</v>
      </c>
      <c r="B85" s="84">
        <v>1947</v>
      </c>
      <c r="C85" s="84" t="s">
        <v>722</v>
      </c>
      <c r="D85" s="88">
        <f>1200000+200000</f>
        <v>1400000</v>
      </c>
      <c r="E85" s="88"/>
      <c r="F85" s="111">
        <f>D85-E85</f>
        <v>1400000</v>
      </c>
      <c r="G85" s="88"/>
      <c r="H85" s="88"/>
      <c r="I85" s="88"/>
      <c r="J85" s="88"/>
      <c r="K85" s="88">
        <f>SUM(I85:J85)</f>
        <v>0</v>
      </c>
      <c r="L85" s="88">
        <f>H85+K85</f>
        <v>0</v>
      </c>
      <c r="M85" s="88">
        <f>P85+S85</f>
        <v>1400000</v>
      </c>
      <c r="N85" s="88"/>
      <c r="O85" s="88">
        <f>D85-L85-M85-N85</f>
        <v>0</v>
      </c>
      <c r="P85" s="88">
        <f>G85-L85</f>
        <v>0</v>
      </c>
      <c r="Q85" s="88"/>
      <c r="R85" s="88">
        <v>1400000</v>
      </c>
      <c r="S85" s="88">
        <f>SUM(Q85:R85)</f>
        <v>1400000</v>
      </c>
      <c r="T85" s="88">
        <f>P85-M85+S85</f>
        <v>0</v>
      </c>
      <c r="U85" s="94">
        <f>N85-T85</f>
        <v>0</v>
      </c>
      <c r="V85" s="88"/>
      <c r="W85" s="88">
        <f>U85-V85-X85-Y85</f>
        <v>0</v>
      </c>
      <c r="X85" s="88"/>
      <c r="Y85" s="84"/>
      <c r="Z85" s="84">
        <v>850000</v>
      </c>
    </row>
    <row r="86" spans="1:39" s="120" customFormat="1" ht="15.6" x14ac:dyDescent="0.25">
      <c r="A86" s="28"/>
      <c r="B86" s="28"/>
      <c r="C86" s="28">
        <v>85</v>
      </c>
      <c r="D86" s="101">
        <f>SUM(D81:D85)</f>
        <v>6880000</v>
      </c>
      <c r="E86" s="101">
        <f t="shared" ref="E86:Y86" si="29">SUM(E81:E85)</f>
        <v>5280000</v>
      </c>
      <c r="F86" s="101">
        <f t="shared" si="29"/>
        <v>1600000</v>
      </c>
      <c r="G86" s="101">
        <f t="shared" si="29"/>
        <v>3780000</v>
      </c>
      <c r="H86" s="101">
        <f t="shared" si="29"/>
        <v>2985192.85</v>
      </c>
      <c r="I86" s="101">
        <f t="shared" si="29"/>
        <v>774737.84000000008</v>
      </c>
      <c r="J86" s="101">
        <f t="shared" si="29"/>
        <v>0</v>
      </c>
      <c r="K86" s="101">
        <f t="shared" si="29"/>
        <v>774737.84000000008</v>
      </c>
      <c r="L86" s="101">
        <f t="shared" si="29"/>
        <v>3759930.6900000004</v>
      </c>
      <c r="M86" s="101">
        <f t="shared" si="29"/>
        <v>2120069.3099999996</v>
      </c>
      <c r="N86" s="101">
        <f t="shared" si="29"/>
        <v>800000</v>
      </c>
      <c r="O86" s="101">
        <f t="shared" si="29"/>
        <v>200000</v>
      </c>
      <c r="P86" s="101">
        <f t="shared" si="29"/>
        <v>20069.309999999765</v>
      </c>
      <c r="Q86" s="101">
        <f t="shared" si="29"/>
        <v>50000</v>
      </c>
      <c r="R86" s="101">
        <f t="shared" si="29"/>
        <v>2050000</v>
      </c>
      <c r="S86" s="101">
        <f t="shared" si="29"/>
        <v>2100000</v>
      </c>
      <c r="T86" s="101">
        <f t="shared" si="29"/>
        <v>0</v>
      </c>
      <c r="U86" s="101">
        <f t="shared" si="29"/>
        <v>800000</v>
      </c>
      <c r="V86" s="101">
        <f t="shared" si="29"/>
        <v>0</v>
      </c>
      <c r="W86" s="101">
        <f t="shared" si="29"/>
        <v>800000</v>
      </c>
      <c r="X86" s="101">
        <f t="shared" si="29"/>
        <v>0</v>
      </c>
      <c r="Y86" s="101">
        <f t="shared" si="29"/>
        <v>0</v>
      </c>
      <c r="Z86" s="28"/>
    </row>
    <row r="87" spans="1:39" s="87" customFormat="1" x14ac:dyDescent="0.25">
      <c r="A87" s="84"/>
      <c r="B87" s="84"/>
      <c r="C87" s="84"/>
      <c r="D87" s="88"/>
      <c r="E87" s="88"/>
      <c r="F87" s="111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94"/>
      <c r="V87" s="88"/>
      <c r="W87" s="88"/>
      <c r="X87" s="88"/>
      <c r="Y87" s="84"/>
      <c r="Z87" s="84"/>
    </row>
    <row r="88" spans="1:39" s="87" customFormat="1" ht="27.6" x14ac:dyDescent="0.25">
      <c r="A88" s="84">
        <f>A85+1</f>
        <v>68</v>
      </c>
      <c r="B88" s="110">
        <v>1636</v>
      </c>
      <c r="C88" s="110" t="s">
        <v>441</v>
      </c>
      <c r="D88" s="111">
        <v>12450000</v>
      </c>
      <c r="E88" s="111">
        <v>12450000</v>
      </c>
      <c r="F88" s="111">
        <f>D88-E88</f>
        <v>0</v>
      </c>
      <c r="G88" s="111">
        <v>250000</v>
      </c>
      <c r="H88" s="111">
        <v>99176.7</v>
      </c>
      <c r="I88" s="111">
        <v>82184</v>
      </c>
      <c r="J88" s="111"/>
      <c r="K88" s="111">
        <f>SUM(I88:J88)</f>
        <v>82184</v>
      </c>
      <c r="L88" s="111">
        <f>H88+K88</f>
        <v>181360.7</v>
      </c>
      <c r="M88" s="111">
        <f>P88+S88</f>
        <v>68639.299999999988</v>
      </c>
      <c r="N88" s="111"/>
      <c r="O88" s="111">
        <f>D88-L88-M88-N88</f>
        <v>12200000</v>
      </c>
      <c r="P88" s="111">
        <f>G88-L88</f>
        <v>68639.299999999988</v>
      </c>
      <c r="Q88" s="88"/>
      <c r="R88" s="88"/>
      <c r="S88" s="111">
        <f>SUM(Q88:R88)</f>
        <v>0</v>
      </c>
      <c r="T88" s="111">
        <f>P88-M88+S88</f>
        <v>0</v>
      </c>
      <c r="U88" s="94">
        <f>N88-T88</f>
        <v>0</v>
      </c>
      <c r="V88" s="111"/>
      <c r="W88" s="88">
        <f>U88-V88-X88-Y88</f>
        <v>0</v>
      </c>
      <c r="X88" s="111"/>
      <c r="Y88" s="110"/>
      <c r="Z88" s="110">
        <v>870000</v>
      </c>
    </row>
    <row r="89" spans="1:39" s="87" customFormat="1" x14ac:dyDescent="0.25">
      <c r="A89" s="84">
        <f>A88+1</f>
        <v>69</v>
      </c>
      <c r="B89" s="93">
        <v>1662</v>
      </c>
      <c r="C89" s="93" t="s">
        <v>362</v>
      </c>
      <c r="D89" s="94">
        <f>525000</f>
        <v>525000</v>
      </c>
      <c r="E89" s="94">
        <v>525000</v>
      </c>
      <c r="F89" s="94">
        <f>D89-E89</f>
        <v>0</v>
      </c>
      <c r="G89" s="94">
        <v>425000</v>
      </c>
      <c r="H89" s="94">
        <v>2781.97</v>
      </c>
      <c r="I89" s="94">
        <v>14251</v>
      </c>
      <c r="J89" s="94"/>
      <c r="K89" s="94">
        <f>SUM(I89:J89)</f>
        <v>14251</v>
      </c>
      <c r="L89" s="94">
        <f>H89+K89</f>
        <v>17032.97</v>
      </c>
      <c r="M89" s="94">
        <f>P89+S89</f>
        <v>407967.03</v>
      </c>
      <c r="N89" s="94"/>
      <c r="O89" s="94">
        <f>D89-L89-M89-N89</f>
        <v>100000</v>
      </c>
      <c r="P89" s="94">
        <f>G89-L89</f>
        <v>407967.03</v>
      </c>
      <c r="Q89" s="88"/>
      <c r="R89" s="88"/>
      <c r="S89" s="94">
        <f>SUM(Q89:R89)</f>
        <v>0</v>
      </c>
      <c r="T89" s="94">
        <f>P89-M89+S89</f>
        <v>0</v>
      </c>
      <c r="U89" s="94">
        <f>N89-T89</f>
        <v>0</v>
      </c>
      <c r="V89" s="94"/>
      <c r="W89" s="88">
        <f>U89-V89-X89-Y89</f>
        <v>0</v>
      </c>
      <c r="X89" s="94"/>
      <c r="Y89" s="93"/>
      <c r="Z89" s="93">
        <v>870000</v>
      </c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</row>
    <row r="90" spans="1:39" s="87" customFormat="1" x14ac:dyDescent="0.25">
      <c r="A90" s="84">
        <f>A89+1</f>
        <v>70</v>
      </c>
      <c r="B90" s="84">
        <v>1795</v>
      </c>
      <c r="C90" s="84" t="s">
        <v>292</v>
      </c>
      <c r="D90" s="88">
        <v>1268000</v>
      </c>
      <c r="E90" s="88">
        <v>1268000</v>
      </c>
      <c r="F90" s="88">
        <f>D90-E90</f>
        <v>0</v>
      </c>
      <c r="G90" s="88">
        <v>1268000</v>
      </c>
      <c r="H90" s="88">
        <v>1114076</v>
      </c>
      <c r="I90" s="88">
        <v>123786</v>
      </c>
      <c r="J90" s="88">
        <v>28950</v>
      </c>
      <c r="K90" s="88">
        <f>SUM(I90:J90)</f>
        <v>152736</v>
      </c>
      <c r="L90" s="88">
        <f>H90+K90</f>
        <v>1266812</v>
      </c>
      <c r="M90" s="88">
        <f>P90+S90+S90</f>
        <v>1188</v>
      </c>
      <c r="N90" s="88"/>
      <c r="O90" s="88">
        <f>D90-L90-M90-N90</f>
        <v>0</v>
      </c>
      <c r="P90" s="88">
        <f>G90-L90</f>
        <v>1188</v>
      </c>
      <c r="Q90" s="88"/>
      <c r="R90" s="88"/>
      <c r="S90" s="88">
        <f>SUM(Q90:R90)</f>
        <v>0</v>
      </c>
      <c r="T90" s="88">
        <f>P90-M90+S90</f>
        <v>0</v>
      </c>
      <c r="U90" s="94">
        <f>N90-T90</f>
        <v>0</v>
      </c>
      <c r="V90" s="88"/>
      <c r="W90" s="88">
        <f>U90-V90-X90-Y90</f>
        <v>0</v>
      </c>
      <c r="X90" s="88"/>
      <c r="Y90" s="84"/>
      <c r="Z90" s="84">
        <v>870000</v>
      </c>
    </row>
    <row r="91" spans="1:39" s="87" customFormat="1" x14ac:dyDescent="0.25">
      <c r="A91" s="84">
        <f>A90+1</f>
        <v>71</v>
      </c>
      <c r="B91" s="110">
        <v>1918</v>
      </c>
      <c r="C91" s="110" t="s">
        <v>357</v>
      </c>
      <c r="D91" s="111">
        <v>2017000</v>
      </c>
      <c r="E91" s="111">
        <v>2017000</v>
      </c>
      <c r="F91" s="111">
        <f>D91-E91</f>
        <v>0</v>
      </c>
      <c r="G91" s="111">
        <v>1167000</v>
      </c>
      <c r="H91" s="111">
        <v>0</v>
      </c>
      <c r="I91" s="111">
        <v>62712</v>
      </c>
      <c r="J91" s="111"/>
      <c r="K91" s="111">
        <f>SUM(I91:J91)</f>
        <v>62712</v>
      </c>
      <c r="L91" s="111">
        <f>H91+K91</f>
        <v>62712</v>
      </c>
      <c r="M91" s="111">
        <f>P91+S91</f>
        <v>1954288</v>
      </c>
      <c r="N91" s="111"/>
      <c r="O91" s="111">
        <f>D91-L91-M91-N91</f>
        <v>0</v>
      </c>
      <c r="P91" s="111">
        <f>G91-L91</f>
        <v>1104288</v>
      </c>
      <c r="Q91" s="88"/>
      <c r="R91" s="88">
        <v>850000</v>
      </c>
      <c r="S91" s="111">
        <f>SUM(Q91:R91)</f>
        <v>850000</v>
      </c>
      <c r="T91" s="111">
        <f>P91-M91+S91</f>
        <v>0</v>
      </c>
      <c r="U91" s="94">
        <f>N91-T91</f>
        <v>0</v>
      </c>
      <c r="V91" s="111"/>
      <c r="W91" s="88">
        <f>U91-V91-X91-Y91</f>
        <v>0</v>
      </c>
      <c r="X91" s="111"/>
      <c r="Y91" s="110"/>
      <c r="Z91" s="110">
        <v>870000</v>
      </c>
    </row>
    <row r="92" spans="1:39" s="87" customFormat="1" x14ac:dyDescent="0.25">
      <c r="A92" s="84">
        <f>A91+1</f>
        <v>72</v>
      </c>
      <c r="B92" s="84">
        <v>1966</v>
      </c>
      <c r="C92" s="84" t="s">
        <v>446</v>
      </c>
      <c r="D92" s="88">
        <v>1700000</v>
      </c>
      <c r="E92" s="88"/>
      <c r="F92" s="111">
        <f>D92-E92</f>
        <v>1700000</v>
      </c>
      <c r="G92" s="88"/>
      <c r="H92" s="88"/>
      <c r="I92" s="88"/>
      <c r="J92" s="88"/>
      <c r="K92" s="88">
        <f>SUM(I92:J92)</f>
        <v>0</v>
      </c>
      <c r="L92" s="88">
        <f>H92+K92</f>
        <v>0</v>
      </c>
      <c r="M92" s="88">
        <f>P92+S92</f>
        <v>0</v>
      </c>
      <c r="N92" s="88">
        <v>1700000</v>
      </c>
      <c r="O92" s="88">
        <f>D92-L92-M92-N92</f>
        <v>0</v>
      </c>
      <c r="P92" s="88">
        <f>G92-L92</f>
        <v>0</v>
      </c>
      <c r="Q92" s="88"/>
      <c r="R92" s="88"/>
      <c r="S92" s="88">
        <f>SUM(Q92:R92)</f>
        <v>0</v>
      </c>
      <c r="T92" s="88">
        <f>P92-M92+S92</f>
        <v>0</v>
      </c>
      <c r="U92" s="94">
        <f>N92-T92</f>
        <v>1700000</v>
      </c>
      <c r="V92" s="88"/>
      <c r="W92" s="88">
        <f>U92-V92-X92-Y92</f>
        <v>1408000</v>
      </c>
      <c r="X92" s="88"/>
      <c r="Y92" s="88">
        <v>292000</v>
      </c>
      <c r="Z92" s="84">
        <v>870000</v>
      </c>
    </row>
    <row r="93" spans="1:39" s="120" customFormat="1" ht="15.6" x14ac:dyDescent="0.25">
      <c r="A93" s="28"/>
      <c r="B93" s="28"/>
      <c r="C93" s="28">
        <v>87</v>
      </c>
      <c r="D93" s="101">
        <f>SUM(D88:D92)</f>
        <v>17960000</v>
      </c>
      <c r="E93" s="101">
        <f t="shared" ref="E93:Y93" si="30">SUM(E88:E92)</f>
        <v>16260000</v>
      </c>
      <c r="F93" s="101">
        <f t="shared" si="30"/>
        <v>1700000</v>
      </c>
      <c r="G93" s="101">
        <f t="shared" si="30"/>
        <v>3110000</v>
      </c>
      <c r="H93" s="101">
        <f t="shared" si="30"/>
        <v>1216034.67</v>
      </c>
      <c r="I93" s="101">
        <f t="shared" si="30"/>
        <v>282933</v>
      </c>
      <c r="J93" s="101">
        <f t="shared" si="30"/>
        <v>28950</v>
      </c>
      <c r="K93" s="101">
        <f t="shared" si="30"/>
        <v>311883</v>
      </c>
      <c r="L93" s="101">
        <f t="shared" si="30"/>
        <v>1527917.67</v>
      </c>
      <c r="M93" s="101">
        <f t="shared" si="30"/>
        <v>2432082.33</v>
      </c>
      <c r="N93" s="101">
        <f t="shared" si="30"/>
        <v>1700000</v>
      </c>
      <c r="O93" s="101">
        <f t="shared" si="30"/>
        <v>12300000</v>
      </c>
      <c r="P93" s="101">
        <f t="shared" si="30"/>
        <v>1582082.33</v>
      </c>
      <c r="Q93" s="101">
        <f t="shared" si="30"/>
        <v>0</v>
      </c>
      <c r="R93" s="101">
        <f t="shared" si="30"/>
        <v>850000</v>
      </c>
      <c r="S93" s="101">
        <f t="shared" si="30"/>
        <v>850000</v>
      </c>
      <c r="T93" s="101">
        <f t="shared" si="30"/>
        <v>0</v>
      </c>
      <c r="U93" s="101">
        <f t="shared" si="30"/>
        <v>1700000</v>
      </c>
      <c r="V93" s="101">
        <f t="shared" si="30"/>
        <v>0</v>
      </c>
      <c r="W93" s="101">
        <f t="shared" si="30"/>
        <v>1408000</v>
      </c>
      <c r="X93" s="101">
        <f t="shared" si="30"/>
        <v>0</v>
      </c>
      <c r="Y93" s="101">
        <f t="shared" si="30"/>
        <v>292000</v>
      </c>
      <c r="Z93" s="28"/>
    </row>
    <row r="94" spans="1:39" s="87" customFormat="1" x14ac:dyDescent="0.25">
      <c r="A94" s="84"/>
      <c r="B94" s="84"/>
      <c r="C94" s="84"/>
      <c r="D94" s="88"/>
      <c r="E94" s="88"/>
      <c r="F94" s="111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94"/>
      <c r="V94" s="88"/>
      <c r="W94" s="88"/>
      <c r="X94" s="88"/>
      <c r="Y94" s="88"/>
      <c r="Z94" s="84"/>
    </row>
    <row r="95" spans="1:39" s="87" customFormat="1" x14ac:dyDescent="0.25">
      <c r="A95" s="84"/>
      <c r="B95" s="84"/>
      <c r="C95" s="84"/>
      <c r="D95" s="88"/>
      <c r="E95" s="88"/>
      <c r="F95" s="11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94"/>
      <c r="V95" s="88"/>
      <c r="W95" s="88"/>
      <c r="X95" s="88"/>
      <c r="Y95" s="88"/>
      <c r="Z95" s="84"/>
    </row>
    <row r="96" spans="1:39" s="87" customFormat="1" x14ac:dyDescent="0.25">
      <c r="A96" s="84">
        <f>A92+1</f>
        <v>73</v>
      </c>
      <c r="B96" s="84">
        <v>1415</v>
      </c>
      <c r="C96" s="84" t="s">
        <v>110</v>
      </c>
      <c r="D96" s="88">
        <v>1150000</v>
      </c>
      <c r="E96" s="88">
        <v>1150000</v>
      </c>
      <c r="F96" s="88">
        <f>D96-E96</f>
        <v>0</v>
      </c>
      <c r="G96" s="88">
        <v>800000</v>
      </c>
      <c r="H96" s="88">
        <v>741130</v>
      </c>
      <c r="I96" s="88">
        <v>20082</v>
      </c>
      <c r="J96" s="88">
        <v>0.4</v>
      </c>
      <c r="K96" s="88">
        <f>SUM(I96:J96)</f>
        <v>20082.400000000001</v>
      </c>
      <c r="L96" s="88">
        <f>H96+K96</f>
        <v>761212.4</v>
      </c>
      <c r="M96" s="88">
        <f>P96+S96</f>
        <v>38787.599999999977</v>
      </c>
      <c r="N96" s="88">
        <f>300000-200000</f>
        <v>100000</v>
      </c>
      <c r="O96" s="88">
        <f>D96-L96-M96-N96</f>
        <v>250000</v>
      </c>
      <c r="P96" s="88">
        <f>G96-L96</f>
        <v>38787.599999999977</v>
      </c>
      <c r="Q96" s="88"/>
      <c r="R96" s="88"/>
      <c r="S96" s="88">
        <f>SUM(Q96:R96)</f>
        <v>0</v>
      </c>
      <c r="T96" s="88">
        <f>P96-M96+S96</f>
        <v>0</v>
      </c>
      <c r="U96" s="94">
        <f>N96-T96</f>
        <v>100000</v>
      </c>
      <c r="V96" s="88"/>
      <c r="W96" s="88">
        <f>U96-V96-X96-Y96</f>
        <v>100000</v>
      </c>
      <c r="X96" s="88"/>
      <c r="Y96" s="84"/>
      <c r="Z96" s="84">
        <v>930000</v>
      </c>
    </row>
    <row r="97" spans="1:26" s="87" customFormat="1" x14ac:dyDescent="0.25">
      <c r="A97" s="84">
        <f>A96+1</f>
        <v>74</v>
      </c>
      <c r="B97" s="84">
        <v>1416</v>
      </c>
      <c r="C97" s="84" t="s">
        <v>274</v>
      </c>
      <c r="D97" s="88">
        <v>1700000</v>
      </c>
      <c r="E97" s="88">
        <v>1700000</v>
      </c>
      <c r="F97" s="88">
        <f>D97-E97</f>
        <v>0</v>
      </c>
      <c r="G97" s="88">
        <v>1100000</v>
      </c>
      <c r="H97" s="88">
        <v>1030750.11</v>
      </c>
      <c r="I97" s="88">
        <v>25863.75</v>
      </c>
      <c r="J97" s="88"/>
      <c r="K97" s="88">
        <f>SUM(I97:J97)</f>
        <v>25863.75</v>
      </c>
      <c r="L97" s="88">
        <f>H97+K97</f>
        <v>1056613.8599999999</v>
      </c>
      <c r="M97" s="88">
        <f>P97+S97</f>
        <v>93386.14000000013</v>
      </c>
      <c r="N97" s="88">
        <v>100000</v>
      </c>
      <c r="O97" s="88">
        <f>D97-L97-M97-N97</f>
        <v>450000</v>
      </c>
      <c r="P97" s="88">
        <f>G97-L97</f>
        <v>43386.14000000013</v>
      </c>
      <c r="Q97" s="149">
        <v>50000</v>
      </c>
      <c r="R97" s="88"/>
      <c r="S97" s="88">
        <f>SUM(Q97:R97)</f>
        <v>50000</v>
      </c>
      <c r="T97" s="88">
        <f>P97-M97+S97</f>
        <v>0</v>
      </c>
      <c r="U97" s="94">
        <f>N97-T97</f>
        <v>100000</v>
      </c>
      <c r="V97" s="88"/>
      <c r="W97" s="88">
        <f>U97-V97-X97-Y97</f>
        <v>100000</v>
      </c>
      <c r="X97" s="88"/>
      <c r="Y97" s="84"/>
      <c r="Z97" s="84">
        <v>930000</v>
      </c>
    </row>
    <row r="98" spans="1:26" s="87" customFormat="1" x14ac:dyDescent="0.25">
      <c r="A98" s="84">
        <f>A97+1</f>
        <v>75</v>
      </c>
      <c r="B98" s="84">
        <v>1478</v>
      </c>
      <c r="C98" s="84" t="s">
        <v>493</v>
      </c>
      <c r="D98" s="88">
        <f>5000000-3200000</f>
        <v>1800000</v>
      </c>
      <c r="E98" s="88">
        <v>5000000</v>
      </c>
      <c r="F98" s="88">
        <f>D98-E98</f>
        <v>-3200000</v>
      </c>
      <c r="G98" s="88">
        <v>1800000</v>
      </c>
      <c r="H98" s="88">
        <v>1541049.74</v>
      </c>
      <c r="I98" s="88">
        <v>258099.13</v>
      </c>
      <c r="J98" s="88"/>
      <c r="K98" s="88">
        <f>SUM(I98:J98)</f>
        <v>258099.13</v>
      </c>
      <c r="L98" s="88">
        <f>H98+K98</f>
        <v>1799148.87</v>
      </c>
      <c r="M98" s="88">
        <f>P98+S98</f>
        <v>851.12999999988824</v>
      </c>
      <c r="N98" s="88"/>
      <c r="O98" s="88">
        <f>D98-L98-M98-N98</f>
        <v>0</v>
      </c>
      <c r="P98" s="88">
        <f>G98-L98</f>
        <v>851.12999999988824</v>
      </c>
      <c r="Q98" s="88"/>
      <c r="R98" s="88"/>
      <c r="S98" s="88">
        <f>SUM(Q98:R98)</f>
        <v>0</v>
      </c>
      <c r="T98" s="88">
        <f>P98-M98+S98</f>
        <v>0</v>
      </c>
      <c r="U98" s="94">
        <f>N98-T98</f>
        <v>0</v>
      </c>
      <c r="V98" s="88"/>
      <c r="W98" s="88">
        <f>U98-V98-X98-Y98</f>
        <v>0</v>
      </c>
      <c r="X98" s="88"/>
      <c r="Y98" s="84"/>
      <c r="Z98" s="84">
        <v>930000</v>
      </c>
    </row>
    <row r="99" spans="1:26" s="87" customFormat="1" x14ac:dyDescent="0.25">
      <c r="A99" s="84">
        <f>A98+1</f>
        <v>76</v>
      </c>
      <c r="B99" s="93">
        <v>1800</v>
      </c>
      <c r="C99" s="93" t="s">
        <v>293</v>
      </c>
      <c r="D99" s="94">
        <v>600000</v>
      </c>
      <c r="E99" s="88">
        <v>600000</v>
      </c>
      <c r="F99" s="88">
        <f>D99-E99</f>
        <v>0</v>
      </c>
      <c r="G99" s="88">
        <v>600000</v>
      </c>
      <c r="H99" s="88">
        <v>426898.02</v>
      </c>
      <c r="I99" s="88">
        <v>173000</v>
      </c>
      <c r="J99" s="88"/>
      <c r="K99" s="88">
        <f>SUM(I99:J99)</f>
        <v>173000</v>
      </c>
      <c r="L99" s="88">
        <f>H99+K99</f>
        <v>599898.02</v>
      </c>
      <c r="M99" s="88">
        <f>P99+S99</f>
        <v>101.97999999998137</v>
      </c>
      <c r="N99" s="88"/>
      <c r="O99" s="88">
        <f>D99-L99-M99-N99</f>
        <v>0</v>
      </c>
      <c r="P99" s="88">
        <f>G99-L99</f>
        <v>101.97999999998137</v>
      </c>
      <c r="Q99" s="88"/>
      <c r="R99" s="88"/>
      <c r="S99" s="88">
        <f>SUM(Q99:R99)</f>
        <v>0</v>
      </c>
      <c r="T99" s="88">
        <f>P99-M99+S99</f>
        <v>0</v>
      </c>
      <c r="U99" s="94">
        <f>N99-T99</f>
        <v>0</v>
      </c>
      <c r="V99" s="88"/>
      <c r="W99" s="88">
        <f>U99-V99-X99-Y99</f>
        <v>0</v>
      </c>
      <c r="X99" s="88"/>
      <c r="Y99" s="84"/>
      <c r="Z99" s="84">
        <v>930000</v>
      </c>
    </row>
    <row r="100" spans="1:26" s="120" customFormat="1" ht="15.6" x14ac:dyDescent="0.25">
      <c r="A100" s="28"/>
      <c r="B100" s="379"/>
      <c r="C100" s="379">
        <v>93</v>
      </c>
      <c r="D100" s="210">
        <f>SUM(D96:D99)</f>
        <v>5250000</v>
      </c>
      <c r="E100" s="210">
        <f t="shared" ref="E100:Y100" si="31">SUM(E96:E99)</f>
        <v>8450000</v>
      </c>
      <c r="F100" s="210">
        <f t="shared" si="31"/>
        <v>-3200000</v>
      </c>
      <c r="G100" s="210">
        <f t="shared" si="31"/>
        <v>4300000</v>
      </c>
      <c r="H100" s="210">
        <f t="shared" si="31"/>
        <v>3739827.8699999996</v>
      </c>
      <c r="I100" s="210">
        <f t="shared" si="31"/>
        <v>477044.88</v>
      </c>
      <c r="J100" s="210">
        <f t="shared" si="31"/>
        <v>0.4</v>
      </c>
      <c r="K100" s="210">
        <f t="shared" si="31"/>
        <v>477045.28</v>
      </c>
      <c r="L100" s="210">
        <f t="shared" si="31"/>
        <v>4216873.1500000004</v>
      </c>
      <c r="M100" s="210">
        <f t="shared" si="31"/>
        <v>133126.84999999998</v>
      </c>
      <c r="N100" s="210">
        <f t="shared" si="31"/>
        <v>200000</v>
      </c>
      <c r="O100" s="210">
        <f t="shared" si="31"/>
        <v>700000</v>
      </c>
      <c r="P100" s="210">
        <f t="shared" si="31"/>
        <v>83126.849999999977</v>
      </c>
      <c r="Q100" s="210">
        <f t="shared" si="31"/>
        <v>50000</v>
      </c>
      <c r="R100" s="210">
        <f t="shared" si="31"/>
        <v>0</v>
      </c>
      <c r="S100" s="210">
        <f t="shared" si="31"/>
        <v>50000</v>
      </c>
      <c r="T100" s="210">
        <f t="shared" si="31"/>
        <v>0</v>
      </c>
      <c r="U100" s="210">
        <f t="shared" si="31"/>
        <v>200000</v>
      </c>
      <c r="V100" s="210">
        <f t="shared" si="31"/>
        <v>0</v>
      </c>
      <c r="W100" s="210">
        <f t="shared" si="31"/>
        <v>200000</v>
      </c>
      <c r="X100" s="210">
        <f t="shared" si="31"/>
        <v>0</v>
      </c>
      <c r="Y100" s="210">
        <f t="shared" si="31"/>
        <v>0</v>
      </c>
      <c r="Z100" s="28"/>
    </row>
    <row r="101" spans="1:26" s="87" customFormat="1" x14ac:dyDescent="0.25">
      <c r="A101" s="84"/>
      <c r="B101" s="93"/>
      <c r="C101" s="93"/>
      <c r="D101" s="94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94"/>
      <c r="V101" s="88"/>
      <c r="W101" s="88"/>
      <c r="X101" s="88"/>
      <c r="Y101" s="84"/>
      <c r="Z101" s="84"/>
    </row>
    <row r="102" spans="1:26" s="87" customFormat="1" x14ac:dyDescent="0.25">
      <c r="A102" s="84"/>
      <c r="B102" s="93"/>
      <c r="C102" s="93"/>
      <c r="D102" s="94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94"/>
      <c r="V102" s="88"/>
      <c r="W102" s="88"/>
      <c r="X102" s="88"/>
      <c r="Y102" s="84"/>
      <c r="Z102" s="84"/>
    </row>
    <row r="103" spans="1:26" s="87" customFormat="1" ht="15.6" x14ac:dyDescent="0.25">
      <c r="A103" s="90">
        <f>A99</f>
        <v>76</v>
      </c>
      <c r="B103" s="28" t="s">
        <v>102</v>
      </c>
      <c r="C103" s="28" t="s">
        <v>136</v>
      </c>
      <c r="D103" s="101">
        <f>D100+D93+D86+D79+D75+D26+D12+D9</f>
        <v>547456840</v>
      </c>
      <c r="E103" s="101">
        <f t="shared" ref="E103:Y103" si="32">E100+E93+E86+E79+E75+E26+E12+E9</f>
        <v>578780840</v>
      </c>
      <c r="F103" s="101">
        <f t="shared" si="32"/>
        <v>-31324000</v>
      </c>
      <c r="G103" s="101">
        <f t="shared" si="32"/>
        <v>401930840</v>
      </c>
      <c r="H103" s="101">
        <f t="shared" si="32"/>
        <v>343915745.27999985</v>
      </c>
      <c r="I103" s="101">
        <f t="shared" si="32"/>
        <v>18824039.780000001</v>
      </c>
      <c r="J103" s="101">
        <f t="shared" si="32"/>
        <v>17226281.890000001</v>
      </c>
      <c r="K103" s="101">
        <f t="shared" si="32"/>
        <v>36050321.670000002</v>
      </c>
      <c r="L103" s="101">
        <f t="shared" si="32"/>
        <v>379966066.94999987</v>
      </c>
      <c r="M103" s="101">
        <f t="shared" si="32"/>
        <v>37999773.049999997</v>
      </c>
      <c r="N103" s="101">
        <f t="shared" si="32"/>
        <v>25186000</v>
      </c>
      <c r="O103" s="101">
        <f t="shared" si="32"/>
        <v>104305000</v>
      </c>
      <c r="P103" s="101">
        <f t="shared" si="32"/>
        <v>21964773.050000004</v>
      </c>
      <c r="Q103" s="101">
        <f t="shared" si="32"/>
        <v>2550000</v>
      </c>
      <c r="R103" s="101">
        <f t="shared" si="32"/>
        <v>14652000</v>
      </c>
      <c r="S103" s="101">
        <f t="shared" si="32"/>
        <v>17202000</v>
      </c>
      <c r="T103" s="101">
        <f t="shared" si="32"/>
        <v>1167000</v>
      </c>
      <c r="U103" s="101">
        <f t="shared" si="32"/>
        <v>24019000</v>
      </c>
      <c r="V103" s="101">
        <f t="shared" si="32"/>
        <v>14320000</v>
      </c>
      <c r="W103" s="101">
        <f t="shared" si="32"/>
        <v>9407000</v>
      </c>
      <c r="X103" s="101">
        <f t="shared" si="32"/>
        <v>0</v>
      </c>
      <c r="Y103" s="101">
        <f t="shared" si="32"/>
        <v>292000</v>
      </c>
      <c r="Z103" s="101"/>
    </row>
    <row r="104" spans="1:26" s="98" customFormat="1" x14ac:dyDescent="0.25">
      <c r="B104" s="113"/>
      <c r="C104" s="113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221"/>
      <c r="V104" s="113"/>
      <c r="W104" s="113"/>
      <c r="X104" s="113"/>
      <c r="Y104" s="113"/>
      <c r="Z104" s="113"/>
    </row>
    <row r="105" spans="1:26" s="98" customFormat="1" x14ac:dyDescent="0.25">
      <c r="B105" s="113"/>
      <c r="C105" s="113"/>
      <c r="D105" s="114"/>
      <c r="E105" s="114"/>
      <c r="F105" s="114"/>
      <c r="G105" s="114"/>
      <c r="H105" s="114"/>
      <c r="I105" s="114"/>
      <c r="J105" s="114"/>
      <c r="K105" s="114"/>
      <c r="L105" s="104">
        <f>K103+H103</f>
        <v>379966066.94999987</v>
      </c>
      <c r="M105" s="104">
        <f>P103+S103-T103</f>
        <v>37999773.050000004</v>
      </c>
      <c r="N105" s="115"/>
      <c r="O105" s="114"/>
      <c r="P105" s="104">
        <f>G103-L103</f>
        <v>21964773.050000131</v>
      </c>
      <c r="Q105" s="114"/>
      <c r="R105" s="114"/>
      <c r="S105" s="114"/>
      <c r="T105" s="114"/>
      <c r="U105" s="222"/>
      <c r="V105" s="116"/>
      <c r="W105" s="116"/>
      <c r="X105" s="116"/>
      <c r="Y105" s="116"/>
      <c r="Z105" s="113"/>
    </row>
    <row r="106" spans="1:26" s="98" customFormat="1" x14ac:dyDescent="0.25">
      <c r="B106" s="113"/>
      <c r="C106" s="113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221"/>
      <c r="V106" s="113"/>
      <c r="W106" s="113"/>
      <c r="X106" s="113"/>
      <c r="Y106" s="113"/>
      <c r="Z106" s="113"/>
    </row>
    <row r="107" spans="1:26" s="98" customFormat="1" hidden="1" x14ac:dyDescent="0.25">
      <c r="B107" s="113"/>
      <c r="C107" s="113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 t="s">
        <v>450</v>
      </c>
      <c r="P107" s="114"/>
      <c r="Q107" s="104">
        <f>'[1]תבל '!$AY$87</f>
        <v>2550000</v>
      </c>
      <c r="R107" s="114"/>
      <c r="S107" s="114"/>
      <c r="T107" s="114"/>
      <c r="U107" s="221"/>
      <c r="V107" s="113"/>
      <c r="W107" s="113"/>
      <c r="X107" s="113"/>
      <c r="Y107" s="113"/>
      <c r="Z107" s="113"/>
    </row>
    <row r="108" spans="1:26" hidden="1" x14ac:dyDescent="0.25"/>
    <row r="109" spans="1:26" hidden="1" x14ac:dyDescent="0.25">
      <c r="N109" s="105" t="s">
        <v>412</v>
      </c>
      <c r="R109" s="104">
        <f>'[1]ריכוז תקציבים מעבר לתוכנית 31.8'!$AD$100</f>
        <v>14652000</v>
      </c>
      <c r="S109" s="105">
        <f>R103-R109</f>
        <v>0</v>
      </c>
    </row>
    <row r="111" spans="1:26" hidden="1" x14ac:dyDescent="0.25">
      <c r="O111" s="114" t="s">
        <v>222</v>
      </c>
      <c r="R111" s="105">
        <f>2290000+3500000+572000</f>
        <v>6362000</v>
      </c>
    </row>
    <row r="112" spans="1:26" hidden="1" x14ac:dyDescent="0.25">
      <c r="O112" s="105" t="s">
        <v>451</v>
      </c>
      <c r="R112" s="105">
        <f>500000+150000+850000+500000+250000+800000+415000+305000</f>
        <v>3770000</v>
      </c>
    </row>
    <row r="113" spans="1:27" s="105" customFormat="1" hidden="1" x14ac:dyDescent="0.25">
      <c r="A113" s="81"/>
      <c r="B113" s="80"/>
      <c r="C113" s="80"/>
      <c r="R113" s="105">
        <f>SUM(R111:R112)</f>
        <v>10132000</v>
      </c>
      <c r="U113" s="211"/>
      <c r="V113" s="80"/>
      <c r="W113" s="80"/>
      <c r="X113" s="80"/>
      <c r="Y113" s="80"/>
      <c r="Z113" s="80"/>
    </row>
    <row r="114" spans="1:27" hidden="1" x14ac:dyDescent="0.25"/>
    <row r="115" spans="1:27" hidden="1" x14ac:dyDescent="0.25">
      <c r="R115" s="203">
        <v>150000</v>
      </c>
      <c r="S115" s="105" t="s">
        <v>477</v>
      </c>
      <c r="T115" s="105" t="s">
        <v>521</v>
      </c>
    </row>
    <row r="116" spans="1:27" hidden="1" x14ac:dyDescent="0.25">
      <c r="R116" s="203">
        <v>2000000</v>
      </c>
      <c r="S116" s="105" t="s">
        <v>476</v>
      </c>
    </row>
    <row r="117" spans="1:27" hidden="1" x14ac:dyDescent="0.25">
      <c r="R117" s="203">
        <f>SUM(R115:R116)</f>
        <v>2150000</v>
      </c>
      <c r="S117" s="105" t="s">
        <v>521</v>
      </c>
    </row>
    <row r="118" spans="1:27" hidden="1" x14ac:dyDescent="0.25">
      <c r="R118" s="105">
        <v>2270000</v>
      </c>
      <c r="S118" s="105" t="s">
        <v>517</v>
      </c>
    </row>
    <row r="119" spans="1:27" hidden="1" x14ac:dyDescent="0.25">
      <c r="P119" s="105" t="s">
        <v>518</v>
      </c>
      <c r="Q119" s="203">
        <f>'[3]תבל '!$AZ$85</f>
        <v>1000000</v>
      </c>
      <c r="R119" s="105">
        <f>R103-R117-R118</f>
        <v>10232000</v>
      </c>
      <c r="S119" s="105" t="s">
        <v>519</v>
      </c>
    </row>
    <row r="120" spans="1:27" hidden="1" x14ac:dyDescent="0.25">
      <c r="P120" s="105" t="s">
        <v>524</v>
      </c>
      <c r="Q120" s="105">
        <f>'[5]תבל '!$BC$86</f>
        <v>1550000</v>
      </c>
      <c r="R120" s="105">
        <f>R98+R90+R89+R82+R69+R66+R51+1500000</f>
        <v>1500000</v>
      </c>
      <c r="S120" s="105" t="s">
        <v>533</v>
      </c>
    </row>
    <row r="121" spans="1:27" hidden="1" x14ac:dyDescent="0.25">
      <c r="Q121" s="203">
        <f>SUM(Q119:Q120)</f>
        <v>2550000</v>
      </c>
      <c r="S121" s="114">
        <v>1946</v>
      </c>
      <c r="T121" s="105">
        <v>590000</v>
      </c>
    </row>
    <row r="122" spans="1:27" hidden="1" x14ac:dyDescent="0.25">
      <c r="S122" s="114">
        <v>1942</v>
      </c>
      <c r="T122" s="105">
        <v>572000</v>
      </c>
    </row>
    <row r="123" spans="1:27" hidden="1" x14ac:dyDescent="0.25">
      <c r="S123" s="114">
        <v>1918</v>
      </c>
      <c r="T123" s="105">
        <v>850000</v>
      </c>
    </row>
    <row r="124" spans="1:27" hidden="1" x14ac:dyDescent="0.25">
      <c r="R124" s="105">
        <f>R119-R120</f>
        <v>8732000</v>
      </c>
      <c r="S124" s="114">
        <v>1883</v>
      </c>
      <c r="T124" s="105">
        <v>500000</v>
      </c>
      <c r="AA124" s="80" t="s">
        <v>551</v>
      </c>
    </row>
    <row r="125" spans="1:27" hidden="1" x14ac:dyDescent="0.25">
      <c r="S125" s="114">
        <v>1770</v>
      </c>
      <c r="T125" s="105">
        <v>2290000</v>
      </c>
    </row>
    <row r="126" spans="1:27" hidden="1" x14ac:dyDescent="0.25">
      <c r="S126" s="105">
        <v>1917</v>
      </c>
      <c r="T126" s="105">
        <v>1500000</v>
      </c>
    </row>
    <row r="127" spans="1:27" hidden="1" x14ac:dyDescent="0.25">
      <c r="S127" s="105">
        <v>1886</v>
      </c>
      <c r="T127" s="105">
        <v>2530000</v>
      </c>
    </row>
    <row r="128" spans="1:27" hidden="1" x14ac:dyDescent="0.25">
      <c r="S128" s="105" t="s">
        <v>559</v>
      </c>
      <c r="T128" s="105">
        <v>1400000</v>
      </c>
      <c r="AA128" s="80" t="s">
        <v>551</v>
      </c>
    </row>
    <row r="129" spans="20:21" hidden="1" x14ac:dyDescent="0.25">
      <c r="T129" s="80"/>
      <c r="U129" s="105">
        <f>SUM(T121:T128)</f>
        <v>10232000</v>
      </c>
    </row>
    <row r="130" spans="20:21" x14ac:dyDescent="0.25">
      <c r="U130" s="213">
        <f>R120-U129</f>
        <v>-8732000</v>
      </c>
    </row>
  </sheetData>
  <sheetProtection formatCells="0" formatColumns="0" formatRows="0" insertColumns="0" insertRows="0" insertHyperlinks="0" deleteColumns="0" deleteRows="0" sort="0" autoFilter="0" pivotTables="0"/>
  <sortState ref="A7:AM82">
    <sortCondition ref="Z7:Z82"/>
  </sortState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1"/>
  <sheetViews>
    <sheetView showZeros="0" rightToLeft="1" zoomScaleNormal="100" workbookViewId="0">
      <pane xSplit="3" ySplit="5" topLeftCell="D6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5.6640625" style="21" customWidth="1"/>
    <col min="4" max="4" width="11.33203125" style="19" customWidth="1"/>
    <col min="5" max="5" width="11" style="19" customWidth="1"/>
    <col min="6" max="6" width="9" style="19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1.109375" style="19" bestFit="1" customWidth="1"/>
    <col min="14" max="14" width="9.88671875" style="19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9.88671875" style="19" hidden="1" customWidth="1"/>
    <col min="21" max="21" width="9.44140625" style="21" customWidth="1"/>
    <col min="22" max="22" width="7.5546875" style="21" customWidth="1"/>
    <col min="23" max="23" width="11.33203125" style="21" customWidth="1"/>
    <col min="24" max="24" width="7.109375" style="21" customWidth="1"/>
    <col min="25" max="25" width="10.44140625" style="21" customWidth="1"/>
    <col min="26" max="26" width="7.88671875" style="21" customWidth="1"/>
    <col min="27" max="27" width="9.109375" style="21" customWidth="1"/>
    <col min="28" max="16384" width="9.109375" style="21"/>
  </cols>
  <sheetData>
    <row r="2" spans="1:26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6" ht="18" x14ac:dyDescent="0.35">
      <c r="A3" s="450" t="s">
        <v>375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</row>
    <row r="5" spans="1:26" s="59" customFormat="1" ht="69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82" t="s">
        <v>492</v>
      </c>
      <c r="N5" s="4" t="s">
        <v>299</v>
      </c>
      <c r="O5" s="4" t="s">
        <v>300</v>
      </c>
      <c r="P5" s="4" t="s">
        <v>12</v>
      </c>
      <c r="Q5" s="4" t="s">
        <v>301</v>
      </c>
      <c r="R5" s="4" t="s">
        <v>302</v>
      </c>
      <c r="S5" s="4" t="s">
        <v>303</v>
      </c>
      <c r="T5" s="4" t="s">
        <v>304</v>
      </c>
      <c r="U5" s="4" t="s">
        <v>305</v>
      </c>
      <c r="V5" s="186" t="s">
        <v>13</v>
      </c>
      <c r="W5" s="4" t="s">
        <v>14</v>
      </c>
      <c r="X5" s="176" t="s">
        <v>15</v>
      </c>
      <c r="Y5" s="4" t="s">
        <v>223</v>
      </c>
      <c r="Z5" s="4" t="s">
        <v>16</v>
      </c>
    </row>
    <row r="6" spans="1:26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87"/>
      <c r="W6" s="7"/>
      <c r="X6" s="190"/>
      <c r="Y6" s="6"/>
      <c r="Z6" s="10"/>
    </row>
    <row r="7" spans="1:26" s="8" customFormat="1" ht="18" customHeigh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87"/>
      <c r="W7" s="7"/>
      <c r="X7" s="190"/>
      <c r="Y7" s="6"/>
      <c r="Z7" s="6"/>
    </row>
    <row r="8" spans="1:26" s="8" customFormat="1" x14ac:dyDescent="0.25">
      <c r="A8" s="6">
        <f>A7+1</f>
        <v>1</v>
      </c>
      <c r="B8" s="6">
        <v>1858</v>
      </c>
      <c r="C8" s="6" t="s">
        <v>374</v>
      </c>
      <c r="D8" s="7">
        <v>75000</v>
      </c>
      <c r="E8" s="7">
        <v>75000</v>
      </c>
      <c r="F8" s="7">
        <f>D8-E8</f>
        <v>0</v>
      </c>
      <c r="G8" s="7">
        <v>0</v>
      </c>
      <c r="H8" s="7">
        <v>0</v>
      </c>
      <c r="I8" s="7"/>
      <c r="J8" s="7"/>
      <c r="K8" s="7">
        <f>SUM(I8:J8)</f>
        <v>0</v>
      </c>
      <c r="L8" s="7">
        <f>H8+K8</f>
        <v>0</v>
      </c>
      <c r="M8" s="7">
        <f>P8+S8</f>
        <v>75000</v>
      </c>
      <c r="N8" s="7"/>
      <c r="O8" s="7">
        <f>D8-L8-M8-N8</f>
        <v>0</v>
      </c>
      <c r="P8" s="7">
        <f>G8-L8</f>
        <v>0</v>
      </c>
      <c r="Q8" s="197">
        <v>75000</v>
      </c>
      <c r="R8" s="7"/>
      <c r="S8" s="7">
        <f>SUM(Q8:R8)</f>
        <v>75000</v>
      </c>
      <c r="T8" s="7">
        <f>P8-M8+S8</f>
        <v>0</v>
      </c>
      <c r="U8" s="7">
        <f>N8-T8</f>
        <v>0</v>
      </c>
      <c r="V8" s="187"/>
      <c r="W8" s="7">
        <f>U8-V8-X8-Y8</f>
        <v>0</v>
      </c>
      <c r="X8" s="190"/>
      <c r="Y8" s="6"/>
      <c r="Z8" s="6">
        <v>720000</v>
      </c>
    </row>
    <row r="9" spans="1:26" s="8" customFormat="1" ht="15.6" x14ac:dyDescent="0.25">
      <c r="A9" s="6">
        <f>A8+1</f>
        <v>2</v>
      </c>
      <c r="B9" s="6">
        <v>1948</v>
      </c>
      <c r="C9" s="146" t="s">
        <v>724</v>
      </c>
      <c r="D9" s="7">
        <v>150000</v>
      </c>
      <c r="E9" s="7"/>
      <c r="F9" s="7">
        <f>D9-E9</f>
        <v>150000</v>
      </c>
      <c r="G9" s="7"/>
      <c r="H9" s="7"/>
      <c r="I9" s="7"/>
      <c r="J9" s="7"/>
      <c r="K9" s="7"/>
      <c r="L9" s="7"/>
      <c r="M9" s="7">
        <f>P9+S9</f>
        <v>150000</v>
      </c>
      <c r="N9" s="7"/>
      <c r="O9" s="7"/>
      <c r="P9" s="7"/>
      <c r="Q9" s="7"/>
      <c r="R9" s="7">
        <v>150000</v>
      </c>
      <c r="S9" s="7">
        <f>SUM(Q9:R9)</f>
        <v>150000</v>
      </c>
      <c r="T9" s="7"/>
      <c r="U9" s="7"/>
      <c r="V9" s="187"/>
      <c r="W9" s="7"/>
      <c r="X9" s="190"/>
      <c r="Y9" s="6"/>
      <c r="Z9" s="6">
        <v>720000</v>
      </c>
    </row>
    <row r="10" spans="1:26" s="8" customFormat="1" x14ac:dyDescent="0.25">
      <c r="A10" s="6">
        <f>A9+1</f>
        <v>3</v>
      </c>
      <c r="B10" s="6">
        <v>1621</v>
      </c>
      <c r="C10" s="6" t="s">
        <v>124</v>
      </c>
      <c r="D10" s="7">
        <f>1350000+50000+550000</f>
        <v>1950000</v>
      </c>
      <c r="E10" s="7">
        <v>1350000</v>
      </c>
      <c r="F10" s="7">
        <f>D10-E10</f>
        <v>600000</v>
      </c>
      <c r="G10" s="7">
        <v>300000</v>
      </c>
      <c r="H10" s="7">
        <v>297909.8</v>
      </c>
      <c r="I10" s="7"/>
      <c r="J10" s="7"/>
      <c r="K10" s="7">
        <f>SUM(I10:J10)</f>
        <v>0</v>
      </c>
      <c r="L10" s="7">
        <f>H10+K10</f>
        <v>297909.8</v>
      </c>
      <c r="M10" s="7">
        <f>P10+S10</f>
        <v>502090.2</v>
      </c>
      <c r="N10" s="7">
        <v>500000</v>
      </c>
      <c r="O10" s="7">
        <f>D10-L10-M10-N10</f>
        <v>650000</v>
      </c>
      <c r="P10" s="7">
        <f>G10-L10</f>
        <v>2090.2000000000116</v>
      </c>
      <c r="Q10" s="197">
        <f>375000</f>
        <v>375000</v>
      </c>
      <c r="R10" s="197">
        <f>675000-550000</f>
        <v>125000</v>
      </c>
      <c r="S10" s="7">
        <f>SUM(Q10:R10)</f>
        <v>500000</v>
      </c>
      <c r="T10" s="7">
        <f>P10-M10+S10</f>
        <v>0</v>
      </c>
      <c r="U10" s="15">
        <f>N10-T10</f>
        <v>500000</v>
      </c>
      <c r="V10" s="187"/>
      <c r="W10" s="7">
        <f>U10-V10-X10-Y10</f>
        <v>500000</v>
      </c>
      <c r="X10" s="190"/>
      <c r="Y10" s="6"/>
      <c r="Z10" s="6">
        <v>723000</v>
      </c>
    </row>
    <row r="11" spans="1:26" s="9" customFormat="1" x14ac:dyDescent="0.25">
      <c r="A11" s="3"/>
      <c r="B11" s="3"/>
      <c r="C11" s="3">
        <v>72</v>
      </c>
      <c r="D11" s="157">
        <f>SUM(D8:D10)</f>
        <v>2175000</v>
      </c>
      <c r="E11" s="157">
        <f t="shared" ref="E11:Y11" si="0">SUM(E8:E10)</f>
        <v>1425000</v>
      </c>
      <c r="F11" s="157">
        <f t="shared" si="0"/>
        <v>750000</v>
      </c>
      <c r="G11" s="157">
        <f t="shared" si="0"/>
        <v>300000</v>
      </c>
      <c r="H11" s="157">
        <f t="shared" si="0"/>
        <v>297909.8</v>
      </c>
      <c r="I11" s="157">
        <f t="shared" si="0"/>
        <v>0</v>
      </c>
      <c r="J11" s="157">
        <f t="shared" si="0"/>
        <v>0</v>
      </c>
      <c r="K11" s="157">
        <f t="shared" si="0"/>
        <v>0</v>
      </c>
      <c r="L11" s="157">
        <f t="shared" si="0"/>
        <v>297909.8</v>
      </c>
      <c r="M11" s="157">
        <f t="shared" si="0"/>
        <v>727090.2</v>
      </c>
      <c r="N11" s="157">
        <f t="shared" si="0"/>
        <v>500000</v>
      </c>
      <c r="O11" s="157">
        <f t="shared" si="0"/>
        <v>650000</v>
      </c>
      <c r="P11" s="157">
        <f t="shared" si="0"/>
        <v>2090.2000000000116</v>
      </c>
      <c r="Q11" s="157">
        <f t="shared" si="0"/>
        <v>450000</v>
      </c>
      <c r="R11" s="157">
        <f t="shared" si="0"/>
        <v>275000</v>
      </c>
      <c r="S11" s="157">
        <f t="shared" si="0"/>
        <v>725000</v>
      </c>
      <c r="T11" s="157">
        <f t="shared" si="0"/>
        <v>0</v>
      </c>
      <c r="U11" s="157">
        <f t="shared" si="0"/>
        <v>500000</v>
      </c>
      <c r="V11" s="157">
        <f t="shared" si="0"/>
        <v>0</v>
      </c>
      <c r="W11" s="157">
        <f t="shared" si="0"/>
        <v>500000</v>
      </c>
      <c r="X11" s="157">
        <f t="shared" si="0"/>
        <v>0</v>
      </c>
      <c r="Y11" s="157">
        <f t="shared" si="0"/>
        <v>0</v>
      </c>
      <c r="Z11" s="3"/>
    </row>
    <row r="12" spans="1:26" s="8" customFormat="1" x14ac:dyDescent="0.2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97"/>
      <c r="R12" s="197"/>
      <c r="S12" s="7"/>
      <c r="T12" s="7"/>
      <c r="U12" s="15"/>
      <c r="V12" s="187"/>
      <c r="W12" s="7"/>
      <c r="X12" s="190"/>
      <c r="Y12" s="6"/>
      <c r="Z12" s="6"/>
    </row>
    <row r="13" spans="1:26" s="8" customFormat="1" x14ac:dyDescent="0.25">
      <c r="A13" s="117">
        <f>A10+1</f>
        <v>4</v>
      </c>
      <c r="B13" s="117">
        <v>1857</v>
      </c>
      <c r="C13" s="117" t="s">
        <v>373</v>
      </c>
      <c r="D13" s="118">
        <v>373500</v>
      </c>
      <c r="E13" s="118">
        <v>373500</v>
      </c>
      <c r="F13" s="7">
        <f>D13-E13</f>
        <v>0</v>
      </c>
      <c r="G13" s="118">
        <v>200000</v>
      </c>
      <c r="H13" s="118">
        <v>11700</v>
      </c>
      <c r="I13" s="118"/>
      <c r="J13" s="118"/>
      <c r="K13" s="118">
        <f>SUM(I13:J13)</f>
        <v>0</v>
      </c>
      <c r="L13" s="118">
        <f>H13+K13</f>
        <v>11700</v>
      </c>
      <c r="M13" s="7">
        <f>P13+S13</f>
        <v>361800</v>
      </c>
      <c r="N13" s="118"/>
      <c r="O13" s="118">
        <f>D13-L13-M13-N13</f>
        <v>0</v>
      </c>
      <c r="P13" s="118">
        <f>G13-L13</f>
        <v>188300</v>
      </c>
      <c r="Q13" s="150">
        <v>100000</v>
      </c>
      <c r="R13" s="197">
        <v>73500</v>
      </c>
      <c r="S13" s="118">
        <f>SUM(Q13:R13)</f>
        <v>173500</v>
      </c>
      <c r="T13" s="118">
        <f>P13-M13+S13</f>
        <v>0</v>
      </c>
      <c r="U13" s="118">
        <f>N13-T13</f>
        <v>0</v>
      </c>
      <c r="V13" s="188"/>
      <c r="W13" s="118">
        <f>U13-V13-X13-Y13</f>
        <v>0</v>
      </c>
      <c r="X13" s="191"/>
      <c r="Y13" s="117"/>
      <c r="Z13" s="117">
        <v>810000</v>
      </c>
    </row>
    <row r="14" spans="1:26" s="13" customFormat="1" ht="15.6" x14ac:dyDescent="0.25">
      <c r="A14" s="398"/>
      <c r="B14" s="398"/>
      <c r="C14" s="398">
        <v>81</v>
      </c>
      <c r="D14" s="399">
        <f>SUM(D13)</f>
        <v>373500</v>
      </c>
      <c r="E14" s="399">
        <f t="shared" ref="E14:Y14" si="1">SUM(E13)</f>
        <v>373500</v>
      </c>
      <c r="F14" s="399">
        <f t="shared" si="1"/>
        <v>0</v>
      </c>
      <c r="G14" s="399">
        <f t="shared" si="1"/>
        <v>200000</v>
      </c>
      <c r="H14" s="399">
        <f t="shared" si="1"/>
        <v>11700</v>
      </c>
      <c r="I14" s="399">
        <f t="shared" si="1"/>
        <v>0</v>
      </c>
      <c r="J14" s="399">
        <f t="shared" si="1"/>
        <v>0</v>
      </c>
      <c r="K14" s="399">
        <f t="shared" si="1"/>
        <v>0</v>
      </c>
      <c r="L14" s="399">
        <f t="shared" si="1"/>
        <v>11700</v>
      </c>
      <c r="M14" s="399">
        <f t="shared" si="1"/>
        <v>361800</v>
      </c>
      <c r="N14" s="399">
        <f t="shared" si="1"/>
        <v>0</v>
      </c>
      <c r="O14" s="399">
        <f t="shared" si="1"/>
        <v>0</v>
      </c>
      <c r="P14" s="399">
        <f t="shared" si="1"/>
        <v>188300</v>
      </c>
      <c r="Q14" s="399">
        <f t="shared" si="1"/>
        <v>100000</v>
      </c>
      <c r="R14" s="399">
        <f t="shared" si="1"/>
        <v>73500</v>
      </c>
      <c r="S14" s="399">
        <f t="shared" si="1"/>
        <v>173500</v>
      </c>
      <c r="T14" s="399">
        <f t="shared" si="1"/>
        <v>0</v>
      </c>
      <c r="U14" s="399">
        <f t="shared" si="1"/>
        <v>0</v>
      </c>
      <c r="V14" s="399">
        <f t="shared" si="1"/>
        <v>0</v>
      </c>
      <c r="W14" s="399">
        <f t="shared" si="1"/>
        <v>0</v>
      </c>
      <c r="X14" s="399">
        <f t="shared" si="1"/>
        <v>0</v>
      </c>
      <c r="Y14" s="399">
        <f t="shared" si="1"/>
        <v>0</v>
      </c>
      <c r="Z14" s="398"/>
    </row>
    <row r="15" spans="1:26" s="8" customFormat="1" x14ac:dyDescent="0.25">
      <c r="A15" s="117"/>
      <c r="B15" s="117"/>
      <c r="C15" s="117"/>
      <c r="D15" s="118"/>
      <c r="E15" s="118"/>
      <c r="F15" s="7"/>
      <c r="G15" s="118"/>
      <c r="H15" s="118"/>
      <c r="I15" s="118"/>
      <c r="J15" s="118"/>
      <c r="K15" s="118"/>
      <c r="L15" s="118"/>
      <c r="M15" s="7"/>
      <c r="N15" s="118"/>
      <c r="O15" s="118"/>
      <c r="P15" s="118"/>
      <c r="Q15" s="150"/>
      <c r="R15" s="197"/>
      <c r="S15" s="118"/>
      <c r="T15" s="118"/>
      <c r="U15" s="118"/>
      <c r="V15" s="188"/>
      <c r="W15" s="118"/>
      <c r="X15" s="191"/>
      <c r="Y15" s="117"/>
      <c r="Z15" s="117"/>
    </row>
    <row r="16" spans="1:26" s="8" customFormat="1" x14ac:dyDescent="0.25">
      <c r="A16" s="117"/>
      <c r="B16" s="117"/>
      <c r="C16" s="117"/>
      <c r="D16" s="118"/>
      <c r="E16" s="118"/>
      <c r="F16" s="7"/>
      <c r="G16" s="118"/>
      <c r="H16" s="118"/>
      <c r="I16" s="118"/>
      <c r="J16" s="118"/>
      <c r="K16" s="118"/>
      <c r="L16" s="118"/>
      <c r="M16" s="7"/>
      <c r="N16" s="118"/>
      <c r="O16" s="118"/>
      <c r="P16" s="118"/>
      <c r="Q16" s="150"/>
      <c r="R16" s="197"/>
      <c r="S16" s="118"/>
      <c r="T16" s="118"/>
      <c r="U16" s="118"/>
      <c r="V16" s="188"/>
      <c r="W16" s="118"/>
      <c r="X16" s="191"/>
      <c r="Y16" s="117"/>
      <c r="Z16" s="117"/>
    </row>
    <row r="17" spans="1:26" s="8" customFormat="1" ht="15.6" x14ac:dyDescent="0.25">
      <c r="A17" s="3">
        <f>A13</f>
        <v>4</v>
      </c>
      <c r="B17" s="11" t="s">
        <v>102</v>
      </c>
      <c r="C17" s="11" t="s">
        <v>376</v>
      </c>
      <c r="D17" s="12">
        <f>D14+D11</f>
        <v>2548500</v>
      </c>
      <c r="E17" s="12">
        <f t="shared" ref="E17:Y17" si="2">E14+E11</f>
        <v>1798500</v>
      </c>
      <c r="F17" s="12">
        <f t="shared" si="2"/>
        <v>750000</v>
      </c>
      <c r="G17" s="12">
        <f t="shared" si="2"/>
        <v>500000</v>
      </c>
      <c r="H17" s="12">
        <f t="shared" si="2"/>
        <v>309609.8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309609.8</v>
      </c>
      <c r="M17" s="12">
        <f t="shared" si="2"/>
        <v>1088890.2</v>
      </c>
      <c r="N17" s="12">
        <f t="shared" si="2"/>
        <v>500000</v>
      </c>
      <c r="O17" s="12">
        <f t="shared" si="2"/>
        <v>650000</v>
      </c>
      <c r="P17" s="12">
        <f t="shared" si="2"/>
        <v>190390.2</v>
      </c>
      <c r="Q17" s="12">
        <f t="shared" si="2"/>
        <v>550000</v>
      </c>
      <c r="R17" s="12">
        <f t="shared" si="2"/>
        <v>348500</v>
      </c>
      <c r="S17" s="12">
        <f t="shared" si="2"/>
        <v>898500</v>
      </c>
      <c r="T17" s="12">
        <f t="shared" si="2"/>
        <v>0</v>
      </c>
      <c r="U17" s="12">
        <f t="shared" si="2"/>
        <v>500000</v>
      </c>
      <c r="V17" s="12">
        <f t="shared" si="2"/>
        <v>0</v>
      </c>
      <c r="W17" s="12">
        <f t="shared" si="2"/>
        <v>500000</v>
      </c>
      <c r="X17" s="12">
        <f t="shared" si="2"/>
        <v>0</v>
      </c>
      <c r="Y17" s="12">
        <f t="shared" si="2"/>
        <v>0</v>
      </c>
      <c r="Z17" s="11"/>
    </row>
    <row r="18" spans="1:26" s="54" customFormat="1" x14ac:dyDescent="0.25">
      <c r="A18" s="6"/>
      <c r="B18" s="167"/>
      <c r="C18" s="1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167"/>
      <c r="V18" s="189"/>
      <c r="W18" s="167"/>
      <c r="X18" s="192"/>
      <c r="Y18" s="167"/>
      <c r="Z18" s="62"/>
    </row>
    <row r="19" spans="1:26" s="54" customFormat="1" x14ac:dyDescent="0.25"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5"/>
      <c r="O19" s="63"/>
      <c r="P19" s="166">
        <f>G17-L17</f>
        <v>190390.2</v>
      </c>
      <c r="Q19" s="63"/>
      <c r="R19" s="63"/>
      <c r="S19" s="63"/>
      <c r="T19" s="63"/>
      <c r="U19" s="66"/>
      <c r="V19" s="116"/>
      <c r="W19" s="116"/>
      <c r="X19" s="116"/>
      <c r="Y19" s="116"/>
      <c r="Z19" s="62"/>
    </row>
    <row r="20" spans="1:26" s="54" customFormat="1" x14ac:dyDescent="0.25"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2"/>
      <c r="V20" s="62"/>
      <c r="W20" s="62"/>
      <c r="X20" s="62"/>
      <c r="Y20" s="62"/>
      <c r="Z20" s="62"/>
    </row>
    <row r="21" spans="1:26" s="54" customFormat="1" hidden="1" x14ac:dyDescent="0.25">
      <c r="B21" s="62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 t="s">
        <v>452</v>
      </c>
      <c r="P21" s="63"/>
      <c r="Q21" s="68">
        <f>[1]בטחון!$AY$12</f>
        <v>550000</v>
      </c>
      <c r="R21" s="63"/>
      <c r="S21" s="63"/>
      <c r="T21" s="63"/>
      <c r="U21" s="62"/>
      <c r="V21" s="62"/>
      <c r="W21" s="62"/>
      <c r="X21" s="62"/>
      <c r="Y21" s="62"/>
      <c r="Z21" s="62"/>
    </row>
    <row r="22" spans="1:26" s="54" customFormat="1" hidden="1" x14ac:dyDescent="0.25">
      <c r="B22" s="62"/>
      <c r="C22" s="6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P22" s="63"/>
      <c r="Q22" s="63"/>
      <c r="R22" s="63"/>
      <c r="S22" s="63"/>
      <c r="T22" s="63"/>
      <c r="U22" s="62"/>
      <c r="V22" s="62"/>
      <c r="W22" s="62"/>
      <c r="X22" s="62"/>
      <c r="Y22" s="62"/>
      <c r="Z22" s="62"/>
    </row>
    <row r="23" spans="1:26" s="54" customFormat="1" hidden="1" x14ac:dyDescent="0.25">
      <c r="B23" s="62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105" t="s">
        <v>412</v>
      </c>
      <c r="P23" s="63"/>
      <c r="Q23" s="63"/>
      <c r="R23" s="68">
        <f>'[1]ריכוז תקציבים מעבר לתוכנית 31.8'!$AD$106</f>
        <v>348500</v>
      </c>
      <c r="S23" s="63"/>
      <c r="T23" s="63"/>
      <c r="U23" s="62"/>
      <c r="V23" s="62"/>
      <c r="W23" s="62"/>
      <c r="X23" s="62"/>
      <c r="Y23" s="62"/>
      <c r="Z23" s="62"/>
    </row>
    <row r="24" spans="1:26" s="54" customFormat="1" hidden="1" x14ac:dyDescent="0.25">
      <c r="B24" s="62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2"/>
      <c r="V24" s="62"/>
      <c r="W24" s="62"/>
      <c r="X24" s="62"/>
      <c r="Y24" s="62"/>
      <c r="Z24" s="62"/>
    </row>
    <row r="25" spans="1:26" s="54" customFormat="1" hidden="1" x14ac:dyDescent="0.25">
      <c r="B25" s="62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 t="s">
        <v>517</v>
      </c>
      <c r="P25" s="63"/>
      <c r="Q25" s="63"/>
      <c r="R25" s="197">
        <v>198500</v>
      </c>
      <c r="S25" s="63"/>
      <c r="T25" s="63"/>
      <c r="U25" s="62"/>
      <c r="V25" s="62"/>
      <c r="W25" s="62"/>
      <c r="X25" s="62"/>
      <c r="Y25" s="62"/>
      <c r="Z25" s="62"/>
    </row>
    <row r="26" spans="1:26" s="54" customFormat="1" hidden="1" x14ac:dyDescent="0.25">
      <c r="B26" s="62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 t="s">
        <v>531</v>
      </c>
      <c r="R26" s="63">
        <f>R17-R25</f>
        <v>150000</v>
      </c>
      <c r="S26" s="63" t="s">
        <v>532</v>
      </c>
      <c r="T26" s="63"/>
      <c r="U26" s="62"/>
      <c r="V26" s="62"/>
      <c r="W26" s="62"/>
      <c r="X26" s="62"/>
      <c r="Y26" s="62"/>
      <c r="Z26" s="62"/>
    </row>
    <row r="27" spans="1:26" s="54" customFormat="1" hidden="1" x14ac:dyDescent="0.25"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2"/>
      <c r="V27" s="62"/>
      <c r="W27" s="62"/>
      <c r="X27" s="62"/>
      <c r="Y27" s="62"/>
      <c r="Z27" s="62"/>
    </row>
    <row r="28" spans="1:26" s="54" customFormat="1" hidden="1" x14ac:dyDescent="0.25"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 t="s">
        <v>518</v>
      </c>
      <c r="P28" s="63"/>
      <c r="Q28" s="63">
        <f>[3]בטחון!$AZ$12</f>
        <v>100000</v>
      </c>
      <c r="R28" s="63"/>
      <c r="S28" s="63"/>
      <c r="T28" s="63"/>
      <c r="U28" s="62"/>
      <c r="V28" s="62"/>
      <c r="W28" s="62"/>
      <c r="X28" s="62"/>
      <c r="Y28" s="62"/>
      <c r="Z28" s="62"/>
    </row>
    <row r="29" spans="1:26" s="67" customFormat="1" ht="15.6" hidden="1" x14ac:dyDescent="0.25">
      <c r="B29" s="62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 t="s">
        <v>524</v>
      </c>
      <c r="P29" s="63"/>
      <c r="Q29" s="63">
        <f>[5]בטחון!$BC$12</f>
        <v>450000</v>
      </c>
      <c r="R29" s="63"/>
      <c r="S29" s="63"/>
      <c r="T29" s="63"/>
      <c r="U29" s="62"/>
      <c r="V29" s="62"/>
      <c r="W29" s="62"/>
      <c r="X29" s="62"/>
      <c r="Y29" s="62"/>
      <c r="Z29" s="62"/>
    </row>
    <row r="30" spans="1:26" s="67" customFormat="1" ht="15.6" x14ac:dyDescent="0.25">
      <c r="B30" s="62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>
        <f>SUM(Q28:Q29)</f>
        <v>550000</v>
      </c>
      <c r="R30" s="63"/>
      <c r="S30" s="63"/>
      <c r="T30" s="63"/>
      <c r="U30" s="62"/>
      <c r="V30" s="62"/>
      <c r="W30" s="62"/>
      <c r="X30" s="62"/>
      <c r="Y30" s="62"/>
      <c r="Z30" s="62"/>
    </row>
    <row r="31" spans="1:26" s="62" customFormat="1" x14ac:dyDescent="0.25">
      <c r="A31" s="64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</sheetData>
  <sheetProtection formatCells="0" formatColumns="0" formatRows="0" insertColumns="0" insertRows="0" insertHyperlinks="0" deleteColumns="0" deleteRows="0" sort="0" autoFilter="0" pivotTables="0"/>
  <sortState ref="A8:AF11">
    <sortCondition ref="Z8:Z11"/>
  </sortState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67"/>
  <sheetViews>
    <sheetView showZeros="0" rightToLeft="1" zoomScaleNormal="100" workbookViewId="0">
      <pane xSplit="3" ySplit="5" topLeftCell="D3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8.33203125" style="80" customWidth="1"/>
    <col min="4" max="5" width="12.6640625" style="105" customWidth="1"/>
    <col min="6" max="6" width="11.109375" style="105" customWidth="1"/>
    <col min="7" max="10" width="12.6640625" style="105" hidden="1" customWidth="1"/>
    <col min="11" max="11" width="11.33203125" style="105" hidden="1" customWidth="1"/>
    <col min="12" max="12" width="12.6640625" style="105" customWidth="1"/>
    <col min="13" max="13" width="9.88671875" style="105" customWidth="1"/>
    <col min="14" max="14" width="11.109375" style="105" bestFit="1" customWidth="1"/>
    <col min="15" max="15" width="10.88671875" style="105" customWidth="1"/>
    <col min="16" max="17" width="11.109375" style="105" hidden="1" customWidth="1"/>
    <col min="18" max="19" width="12" style="105" hidden="1" customWidth="1"/>
    <col min="20" max="20" width="10" style="105" hidden="1" customWidth="1"/>
    <col min="21" max="21" width="11.88671875" style="80" bestFit="1" customWidth="1"/>
    <col min="22" max="22" width="8.44140625" style="80" customWidth="1"/>
    <col min="23" max="23" width="11.88671875" style="80" customWidth="1"/>
    <col min="24" max="24" width="7.44140625" style="80" hidden="1" customWidth="1"/>
    <col min="25" max="25" width="8.44140625" style="80" bestFit="1" customWidth="1"/>
    <col min="26" max="26" width="7.88671875" style="80" customWidth="1"/>
    <col min="27" max="28" width="9.109375" style="80" customWidth="1"/>
    <col min="29" max="16384" width="9.109375" style="80"/>
  </cols>
  <sheetData>
    <row r="2" spans="1:26" s="79" customFormat="1" ht="18" x14ac:dyDescent="0.35">
      <c r="A2" s="451" t="s">
        <v>298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119"/>
    </row>
    <row r="3" spans="1:26" ht="18" x14ac:dyDescent="0.35">
      <c r="A3" s="451" t="s">
        <v>267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</row>
    <row r="5" spans="1:26" s="107" customFormat="1" ht="86.25" customHeight="1" x14ac:dyDescent="0.25">
      <c r="A5" s="106" t="s">
        <v>0</v>
      </c>
      <c r="B5" s="106" t="s">
        <v>1</v>
      </c>
      <c r="C5" s="106" t="s">
        <v>2</v>
      </c>
      <c r="D5" s="106" t="s">
        <v>3</v>
      </c>
      <c r="E5" s="106" t="s">
        <v>4</v>
      </c>
      <c r="F5" s="106" t="s">
        <v>5</v>
      </c>
      <c r="G5" s="106" t="s">
        <v>6</v>
      </c>
      <c r="H5" s="106" t="s">
        <v>7</v>
      </c>
      <c r="I5" s="106" t="s">
        <v>8</v>
      </c>
      <c r="J5" s="106" t="s">
        <v>9</v>
      </c>
      <c r="K5" s="106" t="s">
        <v>10</v>
      </c>
      <c r="L5" s="106" t="s">
        <v>11</v>
      </c>
      <c r="M5" s="82" t="s">
        <v>492</v>
      </c>
      <c r="N5" s="106" t="s">
        <v>299</v>
      </c>
      <c r="O5" s="106" t="s">
        <v>300</v>
      </c>
      <c r="P5" s="106" t="s">
        <v>12</v>
      </c>
      <c r="Q5" s="106" t="s">
        <v>301</v>
      </c>
      <c r="R5" s="106" t="s">
        <v>302</v>
      </c>
      <c r="S5" s="106" t="s">
        <v>303</v>
      </c>
      <c r="T5" s="106" t="s">
        <v>304</v>
      </c>
      <c r="U5" s="106" t="s">
        <v>305</v>
      </c>
      <c r="V5" s="170" t="s">
        <v>13</v>
      </c>
      <c r="W5" s="106" t="s">
        <v>14</v>
      </c>
      <c r="X5" s="174" t="s">
        <v>15</v>
      </c>
      <c r="Y5" s="106" t="s">
        <v>223</v>
      </c>
      <c r="Z5" s="106" t="s">
        <v>16</v>
      </c>
    </row>
    <row r="6" spans="1:26" s="87" customFormat="1" x14ac:dyDescent="0.25">
      <c r="A6" s="85"/>
      <c r="B6" s="85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178"/>
      <c r="W6" s="88"/>
      <c r="X6" s="182"/>
      <c r="Y6" s="85"/>
      <c r="Z6" s="85"/>
    </row>
    <row r="7" spans="1:26" s="120" customFormat="1" ht="15.6" x14ac:dyDescent="0.25">
      <c r="A7" s="28"/>
      <c r="B7" s="28"/>
      <c r="C7" s="28" t="s">
        <v>366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79"/>
      <c r="W7" s="101"/>
      <c r="X7" s="183"/>
      <c r="Y7" s="101"/>
      <c r="Z7" s="28"/>
    </row>
    <row r="8" spans="1:26" s="87" customFormat="1" x14ac:dyDescent="0.25">
      <c r="A8" s="84">
        <f>A7+1</f>
        <v>1</v>
      </c>
      <c r="B8" s="84">
        <v>1626</v>
      </c>
      <c r="C8" s="84" t="s">
        <v>509</v>
      </c>
      <c r="D8" s="88">
        <v>874000</v>
      </c>
      <c r="E8" s="88">
        <v>874000</v>
      </c>
      <c r="F8" s="88">
        <f t="shared" ref="F8:F14" si="0">D8-E8</f>
        <v>0</v>
      </c>
      <c r="G8" s="88">
        <v>874000</v>
      </c>
      <c r="H8" s="88">
        <v>808407.12</v>
      </c>
      <c r="I8" s="88"/>
      <c r="J8" s="88"/>
      <c r="K8" s="88">
        <f>I8+J8</f>
        <v>0</v>
      </c>
      <c r="L8" s="88">
        <f>H8+K8</f>
        <v>808407.12</v>
      </c>
      <c r="M8" s="88">
        <f>P8+S8</f>
        <v>65592.88</v>
      </c>
      <c r="N8" s="88"/>
      <c r="O8" s="88">
        <f>D8-L8-M8-N8</f>
        <v>0</v>
      </c>
      <c r="P8" s="88">
        <f>G8-L8</f>
        <v>65592.88</v>
      </c>
      <c r="Q8" s="88">
        <f>E8-G8</f>
        <v>0</v>
      </c>
      <c r="R8" s="88"/>
      <c r="S8" s="88">
        <f>SUM(Q8:R8)</f>
        <v>0</v>
      </c>
      <c r="T8" s="88">
        <f>P8-M8+S8</f>
        <v>0</v>
      </c>
      <c r="U8" s="88">
        <f>N8-T8</f>
        <v>0</v>
      </c>
      <c r="V8" s="180"/>
      <c r="W8" s="88">
        <f>U8-V8-X8-Y8</f>
        <v>0</v>
      </c>
      <c r="X8" s="184"/>
      <c r="Y8" s="84"/>
      <c r="Z8" s="84">
        <v>810000</v>
      </c>
    </row>
    <row r="9" spans="1:26" s="87" customFormat="1" x14ac:dyDescent="0.25">
      <c r="A9" s="84">
        <f t="shared" ref="A9:A25" si="1">A8+1</f>
        <v>2</v>
      </c>
      <c r="B9" s="84">
        <v>1679</v>
      </c>
      <c r="C9" s="84" t="s">
        <v>138</v>
      </c>
      <c r="D9" s="88">
        <v>130000</v>
      </c>
      <c r="E9" s="88">
        <v>130000</v>
      </c>
      <c r="F9" s="88">
        <f t="shared" si="0"/>
        <v>0</v>
      </c>
      <c r="G9" s="88">
        <v>130000</v>
      </c>
      <c r="H9" s="88">
        <v>98078.58</v>
      </c>
      <c r="I9" s="88"/>
      <c r="J9" s="88"/>
      <c r="K9" s="88">
        <f t="shared" ref="K9:K25" si="2">I9+J9</f>
        <v>0</v>
      </c>
      <c r="L9" s="88">
        <f t="shared" ref="L9:L25" si="3">H9+K9</f>
        <v>98078.58</v>
      </c>
      <c r="M9" s="88">
        <f t="shared" ref="M9:M25" si="4">P9+S9</f>
        <v>31921.42</v>
      </c>
      <c r="N9" s="88"/>
      <c r="O9" s="88">
        <f t="shared" ref="O9:O25" si="5">D9-L9-M9-N9</f>
        <v>0</v>
      </c>
      <c r="P9" s="88">
        <f t="shared" ref="P9:P25" si="6">G9-L9</f>
        <v>31921.42</v>
      </c>
      <c r="Q9" s="88">
        <f t="shared" ref="Q9:Q25" si="7">E9-G9</f>
        <v>0</v>
      </c>
      <c r="R9" s="88"/>
      <c r="S9" s="88">
        <f t="shared" ref="S9:S25" si="8">SUM(Q9:R9)</f>
        <v>0</v>
      </c>
      <c r="T9" s="88">
        <f t="shared" ref="T9:T25" si="9">P9-M9+S9</f>
        <v>0</v>
      </c>
      <c r="U9" s="88">
        <f t="shared" ref="U9:U25" si="10">N9-T9</f>
        <v>0</v>
      </c>
      <c r="V9" s="180"/>
      <c r="W9" s="88">
        <f t="shared" ref="W9:W25" si="11">U9-V9-X9-Y9</f>
        <v>0</v>
      </c>
      <c r="X9" s="184"/>
      <c r="Y9" s="84"/>
      <c r="Z9" s="84">
        <v>810000</v>
      </c>
    </row>
    <row r="10" spans="1:26" s="87" customFormat="1" x14ac:dyDescent="0.25">
      <c r="A10" s="84">
        <f t="shared" si="1"/>
        <v>3</v>
      </c>
      <c r="B10" s="84">
        <v>1710</v>
      </c>
      <c r="C10" s="84" t="s">
        <v>140</v>
      </c>
      <c r="D10" s="88">
        <v>1700000</v>
      </c>
      <c r="E10" s="88">
        <v>1700000</v>
      </c>
      <c r="F10" s="88">
        <f t="shared" si="0"/>
        <v>0</v>
      </c>
      <c r="G10" s="88">
        <f>1210000+141621</f>
        <v>1351621</v>
      </c>
      <c r="H10" s="88">
        <v>567792.73</v>
      </c>
      <c r="I10" s="88">
        <v>6899.49</v>
      </c>
      <c r="J10" s="88"/>
      <c r="K10" s="88">
        <f t="shared" si="2"/>
        <v>6899.49</v>
      </c>
      <c r="L10" s="88">
        <f t="shared" si="3"/>
        <v>574692.22</v>
      </c>
      <c r="M10" s="88">
        <f t="shared" si="4"/>
        <v>776928.78</v>
      </c>
      <c r="N10" s="88">
        <f>110000+380000-141621</f>
        <v>348379</v>
      </c>
      <c r="O10" s="88">
        <f t="shared" si="5"/>
        <v>0</v>
      </c>
      <c r="P10" s="88">
        <f t="shared" si="6"/>
        <v>776928.78</v>
      </c>
      <c r="Q10" s="88"/>
      <c r="R10" s="88"/>
      <c r="S10" s="88">
        <f t="shared" si="8"/>
        <v>0</v>
      </c>
      <c r="T10" s="88">
        <f t="shared" si="9"/>
        <v>0</v>
      </c>
      <c r="U10" s="88">
        <f t="shared" si="10"/>
        <v>348379</v>
      </c>
      <c r="V10" s="180"/>
      <c r="W10" s="88">
        <f t="shared" si="11"/>
        <v>0</v>
      </c>
      <c r="X10" s="184"/>
      <c r="Y10" s="121">
        <f>490000-141621</f>
        <v>348379</v>
      </c>
      <c r="Z10" s="84">
        <v>810000</v>
      </c>
    </row>
    <row r="11" spans="1:26" s="87" customFormat="1" x14ac:dyDescent="0.25">
      <c r="A11" s="84">
        <f t="shared" si="1"/>
        <v>4</v>
      </c>
      <c r="B11" s="84">
        <v>1737</v>
      </c>
      <c r="C11" s="84" t="s">
        <v>142</v>
      </c>
      <c r="D11" s="88">
        <v>91000</v>
      </c>
      <c r="E11" s="88">
        <v>91000</v>
      </c>
      <c r="F11" s="88">
        <f t="shared" si="0"/>
        <v>0</v>
      </c>
      <c r="G11" s="88">
        <v>91000</v>
      </c>
      <c r="H11" s="88">
        <v>66484</v>
      </c>
      <c r="I11" s="88">
        <v>17342</v>
      </c>
      <c r="J11" s="88"/>
      <c r="K11" s="88">
        <f t="shared" si="2"/>
        <v>17342</v>
      </c>
      <c r="L11" s="88">
        <f t="shared" si="3"/>
        <v>83826</v>
      </c>
      <c r="M11" s="88">
        <f t="shared" si="4"/>
        <v>7174</v>
      </c>
      <c r="N11" s="88"/>
      <c r="O11" s="88">
        <f t="shared" si="5"/>
        <v>0</v>
      </c>
      <c r="P11" s="88">
        <f t="shared" si="6"/>
        <v>7174</v>
      </c>
      <c r="Q11" s="88">
        <f t="shared" si="7"/>
        <v>0</v>
      </c>
      <c r="R11" s="88"/>
      <c r="S11" s="88">
        <f t="shared" si="8"/>
        <v>0</v>
      </c>
      <c r="T11" s="88">
        <f t="shared" si="9"/>
        <v>0</v>
      </c>
      <c r="U11" s="88">
        <f t="shared" si="10"/>
        <v>0</v>
      </c>
      <c r="V11" s="180"/>
      <c r="W11" s="88">
        <f t="shared" si="11"/>
        <v>0</v>
      </c>
      <c r="X11" s="184"/>
      <c r="Y11" s="84"/>
      <c r="Z11" s="84">
        <v>810000</v>
      </c>
    </row>
    <row r="12" spans="1:26" s="87" customFormat="1" x14ac:dyDescent="0.25">
      <c r="A12" s="84">
        <f t="shared" si="1"/>
        <v>5</v>
      </c>
      <c r="B12" s="84">
        <v>1740</v>
      </c>
      <c r="C12" s="84" t="s">
        <v>143</v>
      </c>
      <c r="D12" s="88">
        <v>280000</v>
      </c>
      <c r="E12" s="88">
        <v>280000</v>
      </c>
      <c r="F12" s="88">
        <f t="shared" si="0"/>
        <v>0</v>
      </c>
      <c r="G12" s="88">
        <v>150000</v>
      </c>
      <c r="H12" s="88">
        <v>100000</v>
      </c>
      <c r="I12" s="88"/>
      <c r="J12" s="88"/>
      <c r="K12" s="88">
        <f t="shared" si="2"/>
        <v>0</v>
      </c>
      <c r="L12" s="88">
        <f t="shared" si="3"/>
        <v>100000</v>
      </c>
      <c r="M12" s="88">
        <f t="shared" si="4"/>
        <v>180000</v>
      </c>
      <c r="N12" s="88"/>
      <c r="O12" s="88">
        <f t="shared" si="5"/>
        <v>0</v>
      </c>
      <c r="P12" s="88">
        <f t="shared" si="6"/>
        <v>50000</v>
      </c>
      <c r="Q12" s="88"/>
      <c r="R12" s="199">
        <v>130000</v>
      </c>
      <c r="S12" s="88">
        <f t="shared" si="8"/>
        <v>130000</v>
      </c>
      <c r="T12" s="88">
        <f t="shared" si="9"/>
        <v>0</v>
      </c>
      <c r="U12" s="88">
        <f t="shared" si="10"/>
        <v>0</v>
      </c>
      <c r="V12" s="180"/>
      <c r="W12" s="88">
        <f t="shared" si="11"/>
        <v>0</v>
      </c>
      <c r="X12" s="184"/>
      <c r="Y12" s="84"/>
      <c r="Z12" s="84">
        <v>810000</v>
      </c>
    </row>
    <row r="13" spans="1:26" s="87" customFormat="1" x14ac:dyDescent="0.25">
      <c r="A13" s="84">
        <f t="shared" si="1"/>
        <v>6</v>
      </c>
      <c r="B13" s="84">
        <v>1741</v>
      </c>
      <c r="C13" s="84" t="s">
        <v>510</v>
      </c>
      <c r="D13" s="88">
        <v>300000</v>
      </c>
      <c r="E13" s="88">
        <v>300000</v>
      </c>
      <c r="F13" s="88">
        <f>D13-E13</f>
        <v>0</v>
      </c>
      <c r="G13" s="88">
        <v>300000</v>
      </c>
      <c r="H13" s="88">
        <v>272871.61</v>
      </c>
      <c r="I13" s="88">
        <v>5635.57</v>
      </c>
      <c r="J13" s="88">
        <v>12573.08</v>
      </c>
      <c r="K13" s="88">
        <f t="shared" si="2"/>
        <v>18208.650000000001</v>
      </c>
      <c r="L13" s="88">
        <f t="shared" si="3"/>
        <v>291080.26</v>
      </c>
      <c r="M13" s="88">
        <f t="shared" si="4"/>
        <v>8919.7399999999907</v>
      </c>
      <c r="N13" s="88"/>
      <c r="O13" s="88">
        <f t="shared" si="5"/>
        <v>0</v>
      </c>
      <c r="P13" s="88">
        <f t="shared" si="6"/>
        <v>8919.7399999999907</v>
      </c>
      <c r="Q13" s="88">
        <f t="shared" si="7"/>
        <v>0</v>
      </c>
      <c r="R13" s="88"/>
      <c r="S13" s="88">
        <f t="shared" si="8"/>
        <v>0</v>
      </c>
      <c r="T13" s="88">
        <f t="shared" si="9"/>
        <v>0</v>
      </c>
      <c r="U13" s="88">
        <f t="shared" si="10"/>
        <v>0</v>
      </c>
      <c r="V13" s="180"/>
      <c r="W13" s="88">
        <f t="shared" si="11"/>
        <v>0</v>
      </c>
      <c r="X13" s="184"/>
      <c r="Y13" s="84"/>
      <c r="Z13" s="84">
        <v>810000</v>
      </c>
    </row>
    <row r="14" spans="1:26" s="87" customFormat="1" x14ac:dyDescent="0.25">
      <c r="A14" s="84">
        <f t="shared" si="1"/>
        <v>7</v>
      </c>
      <c r="B14" s="84">
        <v>1775</v>
      </c>
      <c r="C14" s="84" t="s">
        <v>145</v>
      </c>
      <c r="D14" s="88">
        <v>465000</v>
      </c>
      <c r="E14" s="88">
        <v>465000</v>
      </c>
      <c r="F14" s="88">
        <f t="shared" si="0"/>
        <v>0</v>
      </c>
      <c r="G14" s="88">
        <v>245000</v>
      </c>
      <c r="H14" s="88">
        <v>179754.55</v>
      </c>
      <c r="I14" s="88"/>
      <c r="J14" s="88">
        <v>61600.5</v>
      </c>
      <c r="K14" s="88">
        <f t="shared" si="2"/>
        <v>61600.5</v>
      </c>
      <c r="L14" s="88">
        <f t="shared" si="3"/>
        <v>241355.05</v>
      </c>
      <c r="M14" s="88">
        <f t="shared" si="4"/>
        <v>223644.95</v>
      </c>
      <c r="N14" s="88"/>
      <c r="O14" s="88">
        <f t="shared" si="5"/>
        <v>0</v>
      </c>
      <c r="P14" s="88">
        <f t="shared" si="6"/>
        <v>3644.9500000000116</v>
      </c>
      <c r="Q14" s="88"/>
      <c r="R14" s="199">
        <v>220000</v>
      </c>
      <c r="S14" s="88">
        <f t="shared" si="8"/>
        <v>220000</v>
      </c>
      <c r="T14" s="88">
        <f t="shared" si="9"/>
        <v>0</v>
      </c>
      <c r="U14" s="88">
        <f t="shared" si="10"/>
        <v>0</v>
      </c>
      <c r="V14" s="180"/>
      <c r="W14" s="88">
        <f t="shared" si="11"/>
        <v>0</v>
      </c>
      <c r="X14" s="184"/>
      <c r="Y14" s="84"/>
      <c r="Z14" s="84">
        <v>760000</v>
      </c>
    </row>
    <row r="15" spans="1:26" s="87" customFormat="1" x14ac:dyDescent="0.25">
      <c r="A15" s="84">
        <f t="shared" si="1"/>
        <v>8</v>
      </c>
      <c r="B15" s="93">
        <v>1776</v>
      </c>
      <c r="C15" s="93" t="s">
        <v>146</v>
      </c>
      <c r="D15" s="94">
        <v>240000</v>
      </c>
      <c r="E15" s="94">
        <v>240000</v>
      </c>
      <c r="F15" s="94">
        <f>D15-E15</f>
        <v>0</v>
      </c>
      <c r="G15" s="94">
        <v>90000</v>
      </c>
      <c r="H15" s="94">
        <v>62711.5</v>
      </c>
      <c r="I15" s="94">
        <v>22991</v>
      </c>
      <c r="J15" s="94"/>
      <c r="K15" s="88">
        <f t="shared" si="2"/>
        <v>22991</v>
      </c>
      <c r="L15" s="88">
        <f t="shared" si="3"/>
        <v>85702.5</v>
      </c>
      <c r="M15" s="88">
        <f t="shared" si="4"/>
        <v>154297.5</v>
      </c>
      <c r="N15" s="88"/>
      <c r="O15" s="88">
        <f t="shared" si="5"/>
        <v>0</v>
      </c>
      <c r="P15" s="88">
        <f t="shared" si="6"/>
        <v>4297.5</v>
      </c>
      <c r="Q15" s="88">
        <v>150000</v>
      </c>
      <c r="R15" s="88"/>
      <c r="S15" s="88">
        <f t="shared" si="8"/>
        <v>150000</v>
      </c>
      <c r="T15" s="88">
        <f t="shared" si="9"/>
        <v>0</v>
      </c>
      <c r="U15" s="88">
        <f t="shared" si="10"/>
        <v>0</v>
      </c>
      <c r="V15" s="180"/>
      <c r="W15" s="88">
        <f t="shared" si="11"/>
        <v>0</v>
      </c>
      <c r="X15" s="184"/>
      <c r="Y15" s="84"/>
      <c r="Z15" s="93">
        <v>810000</v>
      </c>
    </row>
    <row r="16" spans="1:26" s="87" customFormat="1" x14ac:dyDescent="0.25">
      <c r="A16" s="84">
        <f t="shared" si="1"/>
        <v>9</v>
      </c>
      <c r="B16" s="122">
        <v>1810</v>
      </c>
      <c r="C16" s="84" t="s">
        <v>454</v>
      </c>
      <c r="D16" s="88">
        <v>950000</v>
      </c>
      <c r="E16" s="88">
        <v>950000</v>
      </c>
      <c r="F16" s="88">
        <f t="shared" ref="F16:F21" si="12">D16-E16</f>
        <v>0</v>
      </c>
      <c r="G16" s="88">
        <v>950000</v>
      </c>
      <c r="H16" s="88">
        <v>194233</v>
      </c>
      <c r="I16" s="88">
        <v>293752.61</v>
      </c>
      <c r="J16" s="88"/>
      <c r="K16" s="88">
        <f t="shared" si="2"/>
        <v>293752.61</v>
      </c>
      <c r="L16" s="88">
        <f t="shared" si="3"/>
        <v>487985.61</v>
      </c>
      <c r="M16" s="88">
        <f t="shared" si="4"/>
        <v>462014.39</v>
      </c>
      <c r="N16" s="88"/>
      <c r="O16" s="88">
        <f t="shared" si="5"/>
        <v>0</v>
      </c>
      <c r="P16" s="88">
        <f t="shared" si="6"/>
        <v>462014.39</v>
      </c>
      <c r="Q16" s="88">
        <f t="shared" si="7"/>
        <v>0</v>
      </c>
      <c r="R16" s="88"/>
      <c r="S16" s="88">
        <f t="shared" si="8"/>
        <v>0</v>
      </c>
      <c r="T16" s="88">
        <f t="shared" si="9"/>
        <v>0</v>
      </c>
      <c r="U16" s="88">
        <f t="shared" si="10"/>
        <v>0</v>
      </c>
      <c r="V16" s="180"/>
      <c r="W16" s="88">
        <f t="shared" si="11"/>
        <v>0</v>
      </c>
      <c r="X16" s="184"/>
      <c r="Y16" s="84"/>
      <c r="Z16" s="84">
        <v>810000</v>
      </c>
    </row>
    <row r="17" spans="1:26" s="87" customFormat="1" x14ac:dyDescent="0.25">
      <c r="A17" s="84">
        <f t="shared" si="1"/>
        <v>10</v>
      </c>
      <c r="B17" s="122">
        <v>1817</v>
      </c>
      <c r="C17" s="84" t="s">
        <v>294</v>
      </c>
      <c r="D17" s="88">
        <v>640000</v>
      </c>
      <c r="E17" s="88">
        <v>640000</v>
      </c>
      <c r="F17" s="88">
        <f t="shared" si="12"/>
        <v>0</v>
      </c>
      <c r="G17" s="88">
        <v>640000</v>
      </c>
      <c r="H17" s="88">
        <v>421383.42</v>
      </c>
      <c r="I17" s="88">
        <v>113936</v>
      </c>
      <c r="J17" s="88"/>
      <c r="K17" s="88">
        <f t="shared" si="2"/>
        <v>113936</v>
      </c>
      <c r="L17" s="88">
        <f t="shared" si="3"/>
        <v>535319.41999999993</v>
      </c>
      <c r="M17" s="88">
        <f t="shared" si="4"/>
        <v>104680.58000000007</v>
      </c>
      <c r="N17" s="88"/>
      <c r="O17" s="88">
        <f t="shared" si="5"/>
        <v>0</v>
      </c>
      <c r="P17" s="88">
        <f t="shared" si="6"/>
        <v>104680.58000000007</v>
      </c>
      <c r="Q17" s="88">
        <f t="shared" si="7"/>
        <v>0</v>
      </c>
      <c r="R17" s="88"/>
      <c r="S17" s="88">
        <f t="shared" si="8"/>
        <v>0</v>
      </c>
      <c r="T17" s="88">
        <f t="shared" si="9"/>
        <v>0</v>
      </c>
      <c r="U17" s="88">
        <f t="shared" si="10"/>
        <v>0</v>
      </c>
      <c r="V17" s="180"/>
      <c r="W17" s="88">
        <f t="shared" si="11"/>
        <v>0</v>
      </c>
      <c r="X17" s="184"/>
      <c r="Y17" s="84"/>
      <c r="Z17" s="84">
        <v>810000</v>
      </c>
    </row>
    <row r="18" spans="1:26" s="87" customFormat="1" x14ac:dyDescent="0.25">
      <c r="A18" s="84">
        <f t="shared" si="1"/>
        <v>11</v>
      </c>
      <c r="B18" s="122">
        <v>1828</v>
      </c>
      <c r="C18" s="84" t="s">
        <v>511</v>
      </c>
      <c r="D18" s="88">
        <v>330000</v>
      </c>
      <c r="E18" s="88">
        <v>330000</v>
      </c>
      <c r="F18" s="88">
        <f>D18-E18</f>
        <v>0</v>
      </c>
      <c r="G18" s="88">
        <f>210000+120000</f>
        <v>330000</v>
      </c>
      <c r="H18" s="88">
        <v>120000</v>
      </c>
      <c r="I18" s="88">
        <v>72059.69</v>
      </c>
      <c r="J18" s="88"/>
      <c r="K18" s="88">
        <f t="shared" si="2"/>
        <v>72059.69</v>
      </c>
      <c r="L18" s="88">
        <f t="shared" si="3"/>
        <v>192059.69</v>
      </c>
      <c r="M18" s="88">
        <f t="shared" si="4"/>
        <v>137940.31</v>
      </c>
      <c r="N18" s="88"/>
      <c r="O18" s="88">
        <f t="shared" si="5"/>
        <v>0</v>
      </c>
      <c r="P18" s="88">
        <f t="shared" si="6"/>
        <v>137940.31</v>
      </c>
      <c r="Q18" s="88">
        <f t="shared" si="7"/>
        <v>0</v>
      </c>
      <c r="R18" s="88"/>
      <c r="S18" s="88">
        <f t="shared" si="8"/>
        <v>0</v>
      </c>
      <c r="T18" s="88">
        <f t="shared" si="9"/>
        <v>0</v>
      </c>
      <c r="U18" s="88">
        <f t="shared" si="10"/>
        <v>0</v>
      </c>
      <c r="V18" s="180"/>
      <c r="W18" s="88">
        <f t="shared" si="11"/>
        <v>0</v>
      </c>
      <c r="X18" s="184"/>
      <c r="Y18" s="84"/>
      <c r="Z18" s="84">
        <v>810000</v>
      </c>
    </row>
    <row r="19" spans="1:26" s="87" customFormat="1" x14ac:dyDescent="0.25">
      <c r="A19" s="84">
        <f t="shared" si="1"/>
        <v>12</v>
      </c>
      <c r="B19" s="93">
        <v>1860</v>
      </c>
      <c r="C19" s="84" t="s">
        <v>512</v>
      </c>
      <c r="D19" s="88">
        <v>80000</v>
      </c>
      <c r="E19" s="88">
        <v>80000</v>
      </c>
      <c r="F19" s="88">
        <f>D19-E19</f>
        <v>0</v>
      </c>
      <c r="G19" s="88">
        <v>80000</v>
      </c>
      <c r="H19" s="88">
        <v>4388.67</v>
      </c>
      <c r="I19" s="88">
        <v>48947.56</v>
      </c>
      <c r="J19" s="88"/>
      <c r="K19" s="88">
        <f t="shared" si="2"/>
        <v>48947.56</v>
      </c>
      <c r="L19" s="88">
        <f t="shared" si="3"/>
        <v>53336.229999999996</v>
      </c>
      <c r="M19" s="88">
        <f t="shared" si="4"/>
        <v>26663.770000000004</v>
      </c>
      <c r="N19" s="88"/>
      <c r="O19" s="88">
        <f t="shared" si="5"/>
        <v>0</v>
      </c>
      <c r="P19" s="88">
        <f t="shared" si="6"/>
        <v>26663.770000000004</v>
      </c>
      <c r="Q19" s="88">
        <f t="shared" si="7"/>
        <v>0</v>
      </c>
      <c r="R19" s="88"/>
      <c r="S19" s="88">
        <f t="shared" si="8"/>
        <v>0</v>
      </c>
      <c r="T19" s="88">
        <f t="shared" si="9"/>
        <v>0</v>
      </c>
      <c r="U19" s="88">
        <f t="shared" si="10"/>
        <v>0</v>
      </c>
      <c r="V19" s="180"/>
      <c r="W19" s="88">
        <f t="shared" si="11"/>
        <v>0</v>
      </c>
      <c r="X19" s="184"/>
      <c r="Y19" s="84"/>
      <c r="Z19" s="84">
        <v>810000</v>
      </c>
    </row>
    <row r="20" spans="1:26" s="87" customFormat="1" x14ac:dyDescent="0.25">
      <c r="A20" s="84">
        <f t="shared" si="1"/>
        <v>13</v>
      </c>
      <c r="B20" s="122">
        <v>1895</v>
      </c>
      <c r="C20" s="84" t="s">
        <v>513</v>
      </c>
      <c r="D20" s="88">
        <v>600000</v>
      </c>
      <c r="E20" s="88">
        <v>600000</v>
      </c>
      <c r="F20" s="88">
        <f>D20-E20</f>
        <v>0</v>
      </c>
      <c r="G20" s="88">
        <v>600000</v>
      </c>
      <c r="H20" s="88">
        <v>39319</v>
      </c>
      <c r="I20" s="88">
        <v>557336</v>
      </c>
      <c r="J20" s="88"/>
      <c r="K20" s="88">
        <f t="shared" si="2"/>
        <v>557336</v>
      </c>
      <c r="L20" s="88">
        <f t="shared" si="3"/>
        <v>596655</v>
      </c>
      <c r="M20" s="88">
        <f t="shared" si="4"/>
        <v>3345</v>
      </c>
      <c r="N20" s="88"/>
      <c r="O20" s="88">
        <f t="shared" si="5"/>
        <v>0</v>
      </c>
      <c r="P20" s="88">
        <f t="shared" si="6"/>
        <v>3345</v>
      </c>
      <c r="Q20" s="88">
        <f t="shared" si="7"/>
        <v>0</v>
      </c>
      <c r="R20" s="88"/>
      <c r="S20" s="88">
        <f t="shared" si="8"/>
        <v>0</v>
      </c>
      <c r="T20" s="88">
        <f t="shared" si="9"/>
        <v>0</v>
      </c>
      <c r="U20" s="88">
        <f t="shared" si="10"/>
        <v>0</v>
      </c>
      <c r="V20" s="180"/>
      <c r="W20" s="88">
        <f t="shared" si="11"/>
        <v>0</v>
      </c>
      <c r="X20" s="184"/>
      <c r="Y20" s="84"/>
      <c r="Z20" s="84">
        <v>810000</v>
      </c>
    </row>
    <row r="21" spans="1:26" s="87" customFormat="1" x14ac:dyDescent="0.25">
      <c r="A21" s="84">
        <f t="shared" si="1"/>
        <v>14</v>
      </c>
      <c r="B21" s="122">
        <v>1930</v>
      </c>
      <c r="C21" s="84" t="s">
        <v>365</v>
      </c>
      <c r="D21" s="88">
        <v>320000</v>
      </c>
      <c r="E21" s="88">
        <v>320000</v>
      </c>
      <c r="F21" s="88">
        <f t="shared" si="12"/>
        <v>0</v>
      </c>
      <c r="G21" s="88">
        <v>0</v>
      </c>
      <c r="H21" s="88">
        <v>0</v>
      </c>
      <c r="I21" s="88"/>
      <c r="J21" s="88"/>
      <c r="K21" s="88">
        <f t="shared" si="2"/>
        <v>0</v>
      </c>
      <c r="L21" s="88">
        <f t="shared" si="3"/>
        <v>0</v>
      </c>
      <c r="M21" s="88">
        <f t="shared" si="4"/>
        <v>320000</v>
      </c>
      <c r="N21" s="88"/>
      <c r="O21" s="88">
        <f t="shared" si="5"/>
        <v>0</v>
      </c>
      <c r="P21" s="88">
        <f t="shared" si="6"/>
        <v>0</v>
      </c>
      <c r="Q21" s="88"/>
      <c r="R21" s="199">
        <v>320000</v>
      </c>
      <c r="S21" s="88">
        <f t="shared" si="8"/>
        <v>320000</v>
      </c>
      <c r="T21" s="88">
        <f t="shared" si="9"/>
        <v>0</v>
      </c>
      <c r="U21" s="88">
        <f t="shared" si="10"/>
        <v>0</v>
      </c>
      <c r="V21" s="180"/>
      <c r="W21" s="88">
        <f t="shared" si="11"/>
        <v>0</v>
      </c>
      <c r="X21" s="184"/>
      <c r="Y21" s="84"/>
      <c r="Z21" s="84">
        <v>810000</v>
      </c>
    </row>
    <row r="22" spans="1:26" s="95" customFormat="1" x14ac:dyDescent="0.25">
      <c r="A22" s="84">
        <f>A21+1</f>
        <v>15</v>
      </c>
      <c r="B22" s="93">
        <v>1975</v>
      </c>
      <c r="C22" s="93" t="s">
        <v>455</v>
      </c>
      <c r="D22" s="94">
        <v>975000</v>
      </c>
      <c r="E22" s="94"/>
      <c r="F22" s="94">
        <f>D22-E22</f>
        <v>975000</v>
      </c>
      <c r="G22" s="94"/>
      <c r="H22" s="94"/>
      <c r="I22" s="94"/>
      <c r="J22" s="94"/>
      <c r="K22" s="94">
        <f t="shared" si="2"/>
        <v>0</v>
      </c>
      <c r="L22" s="94">
        <f t="shared" si="3"/>
        <v>0</v>
      </c>
      <c r="M22" s="94">
        <f t="shared" si="4"/>
        <v>0</v>
      </c>
      <c r="N22" s="94">
        <v>485000</v>
      </c>
      <c r="O22" s="94">
        <f t="shared" si="5"/>
        <v>490000</v>
      </c>
      <c r="P22" s="94">
        <f t="shared" si="6"/>
        <v>0</v>
      </c>
      <c r="Q22" s="94">
        <f>E22-G22</f>
        <v>0</v>
      </c>
      <c r="R22" s="94"/>
      <c r="S22" s="94">
        <f t="shared" si="8"/>
        <v>0</v>
      </c>
      <c r="T22" s="94">
        <f t="shared" si="9"/>
        <v>0</v>
      </c>
      <c r="U22" s="94">
        <f t="shared" si="10"/>
        <v>485000</v>
      </c>
      <c r="V22" s="181"/>
      <c r="W22" s="88">
        <f t="shared" si="11"/>
        <v>485000</v>
      </c>
      <c r="X22" s="185"/>
      <c r="Y22" s="93"/>
      <c r="Z22" s="84">
        <v>810000</v>
      </c>
    </row>
    <row r="23" spans="1:26" s="95" customFormat="1" x14ac:dyDescent="0.25">
      <c r="A23" s="84">
        <f t="shared" si="1"/>
        <v>16</v>
      </c>
      <c r="B23" s="93">
        <v>1976</v>
      </c>
      <c r="C23" s="93" t="s">
        <v>456</v>
      </c>
      <c r="D23" s="94">
        <v>44100</v>
      </c>
      <c r="E23" s="94"/>
      <c r="F23" s="94">
        <f>D23-E23</f>
        <v>44100</v>
      </c>
      <c r="G23" s="94"/>
      <c r="H23" s="94"/>
      <c r="I23" s="94"/>
      <c r="J23" s="94"/>
      <c r="K23" s="94">
        <f t="shared" si="2"/>
        <v>0</v>
      </c>
      <c r="L23" s="94">
        <f t="shared" si="3"/>
        <v>0</v>
      </c>
      <c r="M23" s="94">
        <f t="shared" si="4"/>
        <v>0</v>
      </c>
      <c r="N23" s="94">
        <v>44100</v>
      </c>
      <c r="O23" s="94">
        <f t="shared" si="5"/>
        <v>0</v>
      </c>
      <c r="P23" s="94">
        <f t="shared" si="6"/>
        <v>0</v>
      </c>
      <c r="Q23" s="94">
        <f>E23-G23</f>
        <v>0</v>
      </c>
      <c r="R23" s="94"/>
      <c r="S23" s="94">
        <f t="shared" si="8"/>
        <v>0</v>
      </c>
      <c r="T23" s="94">
        <f t="shared" si="9"/>
        <v>0</v>
      </c>
      <c r="U23" s="94">
        <f t="shared" si="10"/>
        <v>44100</v>
      </c>
      <c r="V23" s="181"/>
      <c r="W23" s="88">
        <f t="shared" si="11"/>
        <v>0</v>
      </c>
      <c r="X23" s="185"/>
      <c r="Y23" s="88">
        <v>44100</v>
      </c>
      <c r="Z23" s="84">
        <v>810000</v>
      </c>
    </row>
    <row r="24" spans="1:26" s="95" customFormat="1" x14ac:dyDescent="0.25">
      <c r="A24" s="84">
        <f t="shared" si="1"/>
        <v>17</v>
      </c>
      <c r="B24" s="93">
        <v>1977</v>
      </c>
      <c r="C24" s="93" t="s">
        <v>457</v>
      </c>
      <c r="D24" s="94">
        <v>44100</v>
      </c>
      <c r="E24" s="94"/>
      <c r="F24" s="94">
        <f>D24-E24</f>
        <v>44100</v>
      </c>
      <c r="G24" s="94"/>
      <c r="H24" s="94"/>
      <c r="I24" s="94"/>
      <c r="J24" s="94"/>
      <c r="K24" s="94">
        <f t="shared" si="2"/>
        <v>0</v>
      </c>
      <c r="L24" s="94">
        <f t="shared" si="3"/>
        <v>0</v>
      </c>
      <c r="M24" s="94">
        <f t="shared" si="4"/>
        <v>0</v>
      </c>
      <c r="N24" s="94">
        <v>44100</v>
      </c>
      <c r="O24" s="94">
        <f t="shared" si="5"/>
        <v>0</v>
      </c>
      <c r="P24" s="94">
        <f t="shared" si="6"/>
        <v>0</v>
      </c>
      <c r="Q24" s="94">
        <f>E24-G24</f>
        <v>0</v>
      </c>
      <c r="R24" s="94"/>
      <c r="S24" s="94">
        <f t="shared" si="8"/>
        <v>0</v>
      </c>
      <c r="T24" s="94">
        <f t="shared" si="9"/>
        <v>0</v>
      </c>
      <c r="U24" s="94">
        <f t="shared" si="10"/>
        <v>44100</v>
      </c>
      <c r="V24" s="181"/>
      <c r="W24" s="88">
        <f t="shared" si="11"/>
        <v>0</v>
      </c>
      <c r="X24" s="185"/>
      <c r="Y24" s="88">
        <v>44100</v>
      </c>
      <c r="Z24" s="84">
        <v>810000</v>
      </c>
    </row>
    <row r="25" spans="1:26" s="95" customFormat="1" x14ac:dyDescent="0.25">
      <c r="A25" s="84">
        <f t="shared" si="1"/>
        <v>18</v>
      </c>
      <c r="B25" s="93">
        <v>1978</v>
      </c>
      <c r="C25" s="93" t="s">
        <v>458</v>
      </c>
      <c r="D25" s="94">
        <v>73500</v>
      </c>
      <c r="E25" s="94"/>
      <c r="F25" s="94">
        <f>D25-E25</f>
        <v>73500</v>
      </c>
      <c r="G25" s="94"/>
      <c r="H25" s="94"/>
      <c r="I25" s="94"/>
      <c r="J25" s="94"/>
      <c r="K25" s="94">
        <f t="shared" si="2"/>
        <v>0</v>
      </c>
      <c r="L25" s="94">
        <f t="shared" si="3"/>
        <v>0</v>
      </c>
      <c r="M25" s="94">
        <f t="shared" si="4"/>
        <v>0</v>
      </c>
      <c r="N25" s="94">
        <v>73500</v>
      </c>
      <c r="O25" s="94">
        <f t="shared" si="5"/>
        <v>0</v>
      </c>
      <c r="P25" s="94">
        <f t="shared" si="6"/>
        <v>0</v>
      </c>
      <c r="Q25" s="94">
        <f t="shared" si="7"/>
        <v>0</v>
      </c>
      <c r="R25" s="94"/>
      <c r="S25" s="94">
        <f t="shared" si="8"/>
        <v>0</v>
      </c>
      <c r="T25" s="94">
        <f t="shared" si="9"/>
        <v>0</v>
      </c>
      <c r="U25" s="94">
        <f t="shared" si="10"/>
        <v>73500</v>
      </c>
      <c r="V25" s="181"/>
      <c r="W25" s="88">
        <f t="shared" si="11"/>
        <v>0</v>
      </c>
      <c r="X25" s="185"/>
      <c r="Y25" s="88">
        <v>73500</v>
      </c>
      <c r="Z25" s="84">
        <v>810000</v>
      </c>
    </row>
    <row r="26" spans="1:26" s="87" customFormat="1" ht="15.6" x14ac:dyDescent="0.25">
      <c r="A26" s="90">
        <f>A25</f>
        <v>18</v>
      </c>
      <c r="B26" s="28" t="s">
        <v>102</v>
      </c>
      <c r="C26" s="28">
        <v>81</v>
      </c>
      <c r="D26" s="101">
        <f>SUM(D8:D25)</f>
        <v>8136700</v>
      </c>
      <c r="E26" s="101">
        <f t="shared" ref="E26:Y26" si="13">SUM(E8:E25)</f>
        <v>7000000</v>
      </c>
      <c r="F26" s="101">
        <f t="shared" si="13"/>
        <v>1136700</v>
      </c>
      <c r="G26" s="101">
        <f t="shared" si="13"/>
        <v>5831621</v>
      </c>
      <c r="H26" s="101">
        <f t="shared" si="13"/>
        <v>2935424.1799999997</v>
      </c>
      <c r="I26" s="101">
        <f t="shared" si="13"/>
        <v>1138899.92</v>
      </c>
      <c r="J26" s="101">
        <f t="shared" si="13"/>
        <v>74173.58</v>
      </c>
      <c r="K26" s="101">
        <f t="shared" si="13"/>
        <v>1213073.5</v>
      </c>
      <c r="L26" s="101">
        <f t="shared" si="13"/>
        <v>4148497.6799999997</v>
      </c>
      <c r="M26" s="101">
        <f t="shared" si="13"/>
        <v>2503123.3200000003</v>
      </c>
      <c r="N26" s="101">
        <f t="shared" si="13"/>
        <v>995079</v>
      </c>
      <c r="O26" s="101">
        <f t="shared" si="13"/>
        <v>490000</v>
      </c>
      <c r="P26" s="101">
        <f t="shared" si="13"/>
        <v>1683123.3200000003</v>
      </c>
      <c r="Q26" s="101">
        <f t="shared" si="13"/>
        <v>150000</v>
      </c>
      <c r="R26" s="101">
        <f t="shared" si="13"/>
        <v>670000</v>
      </c>
      <c r="S26" s="101">
        <f t="shared" si="13"/>
        <v>820000</v>
      </c>
      <c r="T26" s="101">
        <f t="shared" si="13"/>
        <v>0</v>
      </c>
      <c r="U26" s="101">
        <f t="shared" si="13"/>
        <v>995079</v>
      </c>
      <c r="V26" s="101">
        <f t="shared" si="13"/>
        <v>0</v>
      </c>
      <c r="W26" s="101">
        <f t="shared" si="13"/>
        <v>485000</v>
      </c>
      <c r="X26" s="101">
        <f t="shared" si="13"/>
        <v>0</v>
      </c>
      <c r="Y26" s="101">
        <f t="shared" si="13"/>
        <v>510079</v>
      </c>
      <c r="Z26" s="28"/>
    </row>
    <row r="27" spans="1:26" s="87" customFormat="1" ht="15.6" x14ac:dyDescent="0.25">
      <c r="A27" s="84"/>
      <c r="B27" s="28"/>
      <c r="C27" s="28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79"/>
      <c r="W27" s="101"/>
      <c r="X27" s="183"/>
      <c r="Y27" s="101"/>
      <c r="Z27" s="28"/>
    </row>
    <row r="28" spans="1:26" s="87" customFormat="1" ht="15.6" x14ac:dyDescent="0.25">
      <c r="A28" s="84"/>
      <c r="B28" s="84"/>
      <c r="C28" s="28" t="s">
        <v>368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>
        <f>P28-M28+R28</f>
        <v>0</v>
      </c>
      <c r="U28" s="88">
        <f>N28-T28</f>
        <v>0</v>
      </c>
      <c r="V28" s="180"/>
      <c r="W28" s="88"/>
      <c r="X28" s="184"/>
      <c r="Y28" s="84"/>
      <c r="Z28" s="84"/>
    </row>
    <row r="29" spans="1:26" s="87" customFormat="1" x14ac:dyDescent="0.25">
      <c r="A29" s="84">
        <f t="shared" ref="A29:A42" si="14">A28+1</f>
        <v>1</v>
      </c>
      <c r="B29" s="84">
        <v>1774</v>
      </c>
      <c r="C29" s="84" t="s">
        <v>144</v>
      </c>
      <c r="D29" s="88">
        <v>100000</v>
      </c>
      <c r="E29" s="88">
        <v>100000</v>
      </c>
      <c r="F29" s="88">
        <f t="shared" ref="F29:F42" si="15">D29-E29</f>
        <v>0</v>
      </c>
      <c r="G29" s="88">
        <v>100000</v>
      </c>
      <c r="H29" s="88">
        <v>86140</v>
      </c>
      <c r="I29" s="88"/>
      <c r="J29" s="88"/>
      <c r="K29" s="88">
        <f t="shared" ref="K29:K42" si="16">I29+J29</f>
        <v>0</v>
      </c>
      <c r="L29" s="88">
        <f t="shared" ref="L29:L42" si="17">H29+K29</f>
        <v>86140</v>
      </c>
      <c r="M29" s="88">
        <f t="shared" ref="M29:M42" si="18">P29+S29</f>
        <v>13860</v>
      </c>
      <c r="N29" s="88"/>
      <c r="O29" s="88">
        <f t="shared" ref="O29:O42" si="19">D29-L29-M29-N29</f>
        <v>0</v>
      </c>
      <c r="P29" s="88">
        <f t="shared" ref="P29:P42" si="20">G29-L29</f>
        <v>13860</v>
      </c>
      <c r="Q29" s="88"/>
      <c r="R29" s="88"/>
      <c r="S29" s="88">
        <f t="shared" ref="S29:S39" si="21">SUM(Q29:R29)</f>
        <v>0</v>
      </c>
      <c r="T29" s="88">
        <f t="shared" ref="T29:T39" si="22">P29-M29+S29</f>
        <v>0</v>
      </c>
      <c r="U29" s="88">
        <f t="shared" ref="U29:U42" si="23">N29-T29</f>
        <v>0</v>
      </c>
      <c r="V29" s="180"/>
      <c r="W29" s="88">
        <f t="shared" ref="W29:W42" si="24">U29-V29-X29-Y29</f>
        <v>0</v>
      </c>
      <c r="X29" s="184"/>
      <c r="Y29" s="84"/>
      <c r="Z29" s="84">
        <v>810000</v>
      </c>
    </row>
    <row r="30" spans="1:26" s="87" customFormat="1" ht="16.5" customHeight="1" x14ac:dyDescent="0.25">
      <c r="A30" s="84">
        <f t="shared" si="14"/>
        <v>2</v>
      </c>
      <c r="B30" s="122">
        <v>1901</v>
      </c>
      <c r="C30" s="84" t="s">
        <v>459</v>
      </c>
      <c r="D30" s="88">
        <v>130000</v>
      </c>
      <c r="E30" s="88">
        <v>130000</v>
      </c>
      <c r="F30" s="88">
        <f t="shared" si="15"/>
        <v>0</v>
      </c>
      <c r="G30" s="88">
        <v>130000</v>
      </c>
      <c r="H30" s="88">
        <v>0</v>
      </c>
      <c r="I30" s="88">
        <v>129998</v>
      </c>
      <c r="J30" s="88"/>
      <c r="K30" s="88">
        <f t="shared" si="16"/>
        <v>129998</v>
      </c>
      <c r="L30" s="88">
        <f t="shared" si="17"/>
        <v>129998</v>
      </c>
      <c r="M30" s="88">
        <f t="shared" si="18"/>
        <v>2</v>
      </c>
      <c r="N30" s="88"/>
      <c r="O30" s="88">
        <f t="shared" si="19"/>
        <v>0</v>
      </c>
      <c r="P30" s="88">
        <f t="shared" si="20"/>
        <v>2</v>
      </c>
      <c r="Q30" s="88"/>
      <c r="R30" s="88"/>
      <c r="S30" s="88">
        <f t="shared" si="21"/>
        <v>0</v>
      </c>
      <c r="T30" s="88">
        <f t="shared" si="22"/>
        <v>0</v>
      </c>
      <c r="U30" s="88">
        <f t="shared" si="23"/>
        <v>0</v>
      </c>
      <c r="V30" s="180"/>
      <c r="W30" s="88">
        <f t="shared" si="24"/>
        <v>0</v>
      </c>
      <c r="X30" s="184"/>
      <c r="Y30" s="84"/>
      <c r="Z30" s="84">
        <v>810000</v>
      </c>
    </row>
    <row r="31" spans="1:26" s="87" customFormat="1" ht="18.75" customHeight="1" x14ac:dyDescent="0.25">
      <c r="A31" s="84">
        <f t="shared" si="14"/>
        <v>3</v>
      </c>
      <c r="B31" s="122">
        <v>1902</v>
      </c>
      <c r="C31" s="84" t="s">
        <v>460</v>
      </c>
      <c r="D31" s="88">
        <f>255000</f>
        <v>255000</v>
      </c>
      <c r="E31" s="88">
        <v>255000</v>
      </c>
      <c r="F31" s="88">
        <f t="shared" si="15"/>
        <v>0</v>
      </c>
      <c r="G31" s="88"/>
      <c r="H31" s="88">
        <v>0</v>
      </c>
      <c r="I31" s="88"/>
      <c r="J31" s="88"/>
      <c r="K31" s="88">
        <f t="shared" si="16"/>
        <v>0</v>
      </c>
      <c r="L31" s="88">
        <f t="shared" si="17"/>
        <v>0</v>
      </c>
      <c r="M31" s="88">
        <f t="shared" si="18"/>
        <v>255000</v>
      </c>
      <c r="N31" s="94"/>
      <c r="O31" s="88">
        <f t="shared" si="19"/>
        <v>0</v>
      </c>
      <c r="P31" s="88">
        <f t="shared" si="20"/>
        <v>0</v>
      </c>
      <c r="Q31" s="88"/>
      <c r="R31" s="199">
        <v>255000</v>
      </c>
      <c r="S31" s="88">
        <f t="shared" si="21"/>
        <v>255000</v>
      </c>
      <c r="T31" s="88">
        <f t="shared" si="22"/>
        <v>0</v>
      </c>
      <c r="U31" s="88">
        <f t="shared" si="23"/>
        <v>0</v>
      </c>
      <c r="V31" s="180"/>
      <c r="W31" s="88">
        <f t="shared" si="24"/>
        <v>0</v>
      </c>
      <c r="X31" s="184"/>
      <c r="Y31" s="84"/>
      <c r="Z31" s="84">
        <v>810000</v>
      </c>
    </row>
    <row r="32" spans="1:26" s="87" customFormat="1" x14ac:dyDescent="0.25">
      <c r="A32" s="84">
        <f t="shared" si="14"/>
        <v>4</v>
      </c>
      <c r="B32" s="84">
        <v>1705</v>
      </c>
      <c r="C32" s="84" t="s">
        <v>139</v>
      </c>
      <c r="D32" s="88">
        <v>220000</v>
      </c>
      <c r="E32" s="88">
        <v>220000</v>
      </c>
      <c r="F32" s="88">
        <f t="shared" si="15"/>
        <v>0</v>
      </c>
      <c r="G32" s="88">
        <v>220000</v>
      </c>
      <c r="H32" s="88">
        <v>128035.28</v>
      </c>
      <c r="I32" s="88">
        <v>49333.83</v>
      </c>
      <c r="J32" s="88"/>
      <c r="K32" s="88">
        <f t="shared" si="16"/>
        <v>49333.83</v>
      </c>
      <c r="L32" s="88">
        <f t="shared" si="17"/>
        <v>177369.11</v>
      </c>
      <c r="M32" s="88">
        <f t="shared" si="18"/>
        <v>42630.890000000014</v>
      </c>
      <c r="N32" s="88"/>
      <c r="O32" s="88">
        <f t="shared" si="19"/>
        <v>0</v>
      </c>
      <c r="P32" s="88">
        <f t="shared" si="20"/>
        <v>42630.890000000014</v>
      </c>
      <c r="Q32" s="88"/>
      <c r="R32" s="88"/>
      <c r="S32" s="88">
        <f t="shared" si="21"/>
        <v>0</v>
      </c>
      <c r="T32" s="88">
        <f t="shared" si="22"/>
        <v>0</v>
      </c>
      <c r="U32" s="88">
        <f t="shared" si="23"/>
        <v>0</v>
      </c>
      <c r="V32" s="180"/>
      <c r="W32" s="88">
        <f t="shared" si="24"/>
        <v>0</v>
      </c>
      <c r="X32" s="184"/>
      <c r="Y32" s="84"/>
      <c r="Z32" s="84">
        <v>828000</v>
      </c>
    </row>
    <row r="33" spans="1:26" s="87" customFormat="1" x14ac:dyDescent="0.25">
      <c r="A33" s="84">
        <f t="shared" si="14"/>
        <v>5</v>
      </c>
      <c r="B33" s="84">
        <v>1582</v>
      </c>
      <c r="C33" s="84" t="s">
        <v>137</v>
      </c>
      <c r="D33" s="88">
        <v>1600000</v>
      </c>
      <c r="E33" s="88">
        <v>1600000</v>
      </c>
      <c r="F33" s="88">
        <f t="shared" si="15"/>
        <v>0</v>
      </c>
      <c r="G33" s="88">
        <v>763000</v>
      </c>
      <c r="H33" s="88">
        <v>599974.86</v>
      </c>
      <c r="I33" s="88">
        <v>19332.939999999999</v>
      </c>
      <c r="J33" s="88"/>
      <c r="K33" s="88">
        <f t="shared" si="16"/>
        <v>19332.939999999999</v>
      </c>
      <c r="L33" s="88">
        <f t="shared" si="17"/>
        <v>619307.79999999993</v>
      </c>
      <c r="M33" s="88">
        <f t="shared" si="18"/>
        <v>143692.20000000007</v>
      </c>
      <c r="N33" s="94">
        <v>160000</v>
      </c>
      <c r="O33" s="88">
        <f t="shared" si="19"/>
        <v>677000</v>
      </c>
      <c r="P33" s="88">
        <f t="shared" si="20"/>
        <v>143692.20000000007</v>
      </c>
      <c r="Q33" s="88"/>
      <c r="R33" s="88"/>
      <c r="S33" s="88">
        <f t="shared" si="21"/>
        <v>0</v>
      </c>
      <c r="T33" s="88">
        <f t="shared" si="22"/>
        <v>0</v>
      </c>
      <c r="U33" s="88">
        <f t="shared" si="23"/>
        <v>160000</v>
      </c>
      <c r="V33" s="180"/>
      <c r="W33" s="88">
        <f t="shared" si="24"/>
        <v>160000</v>
      </c>
      <c r="X33" s="184"/>
      <c r="Y33" s="84"/>
      <c r="Z33" s="84">
        <v>829000</v>
      </c>
    </row>
    <row r="34" spans="1:26" s="87" customFormat="1" x14ac:dyDescent="0.25">
      <c r="A34" s="84">
        <f t="shared" si="14"/>
        <v>6</v>
      </c>
      <c r="B34" s="84">
        <v>1678</v>
      </c>
      <c r="C34" s="84" t="s">
        <v>127</v>
      </c>
      <c r="D34" s="88">
        <f>800000+300000</f>
        <v>1100000</v>
      </c>
      <c r="E34" s="88">
        <v>800000</v>
      </c>
      <c r="F34" s="88">
        <f t="shared" si="15"/>
        <v>300000</v>
      </c>
      <c r="G34" s="88">
        <v>700000</v>
      </c>
      <c r="H34" s="88">
        <v>443533.91</v>
      </c>
      <c r="I34" s="88">
        <v>148836.81</v>
      </c>
      <c r="J34" s="88"/>
      <c r="K34" s="88">
        <f t="shared" si="16"/>
        <v>148836.81</v>
      </c>
      <c r="L34" s="88">
        <f t="shared" si="17"/>
        <v>592370.72</v>
      </c>
      <c r="M34" s="88">
        <f t="shared" si="18"/>
        <v>107629.28000000003</v>
      </c>
      <c r="N34" s="94">
        <v>400000</v>
      </c>
      <c r="O34" s="88">
        <f t="shared" si="19"/>
        <v>0</v>
      </c>
      <c r="P34" s="88">
        <f t="shared" si="20"/>
        <v>107629.28000000003</v>
      </c>
      <c r="Q34" s="88"/>
      <c r="R34" s="88"/>
      <c r="S34" s="88">
        <f t="shared" si="21"/>
        <v>0</v>
      </c>
      <c r="T34" s="88">
        <f t="shared" si="22"/>
        <v>0</v>
      </c>
      <c r="U34" s="88">
        <f t="shared" si="23"/>
        <v>400000</v>
      </c>
      <c r="V34" s="180"/>
      <c r="W34" s="88">
        <f t="shared" si="24"/>
        <v>400000</v>
      </c>
      <c r="X34" s="184"/>
      <c r="Y34" s="84"/>
      <c r="Z34" s="84">
        <v>829000</v>
      </c>
    </row>
    <row r="35" spans="1:26" s="87" customFormat="1" x14ac:dyDescent="0.25">
      <c r="A35" s="84">
        <f t="shared" si="14"/>
        <v>7</v>
      </c>
      <c r="B35" s="84">
        <v>1734</v>
      </c>
      <c r="C35" s="84" t="s">
        <v>141</v>
      </c>
      <c r="D35" s="88">
        <v>315000</v>
      </c>
      <c r="E35" s="88">
        <v>315000</v>
      </c>
      <c r="F35" s="88">
        <f t="shared" si="15"/>
        <v>0</v>
      </c>
      <c r="G35" s="88">
        <v>315000</v>
      </c>
      <c r="H35" s="88">
        <v>195673.5</v>
      </c>
      <c r="I35" s="88">
        <v>2703.25</v>
      </c>
      <c r="J35" s="88"/>
      <c r="K35" s="88">
        <f t="shared" si="16"/>
        <v>2703.25</v>
      </c>
      <c r="L35" s="88">
        <f t="shared" si="17"/>
        <v>198376.75</v>
      </c>
      <c r="M35" s="88">
        <f t="shared" si="18"/>
        <v>116623.25</v>
      </c>
      <c r="N35" s="88"/>
      <c r="O35" s="88">
        <f t="shared" si="19"/>
        <v>0</v>
      </c>
      <c r="P35" s="88">
        <f t="shared" si="20"/>
        <v>116623.25</v>
      </c>
      <c r="Q35" s="88"/>
      <c r="R35" s="88"/>
      <c r="S35" s="88">
        <f t="shared" si="21"/>
        <v>0</v>
      </c>
      <c r="T35" s="88">
        <f t="shared" si="22"/>
        <v>0</v>
      </c>
      <c r="U35" s="88">
        <f t="shared" si="23"/>
        <v>0</v>
      </c>
      <c r="V35" s="180"/>
      <c r="W35" s="88">
        <f t="shared" si="24"/>
        <v>0</v>
      </c>
      <c r="X35" s="184"/>
      <c r="Y35" s="84"/>
      <c r="Z35" s="84">
        <v>829000</v>
      </c>
    </row>
    <row r="36" spans="1:26" s="87" customFormat="1" x14ac:dyDescent="0.25">
      <c r="A36" s="84">
        <f t="shared" si="14"/>
        <v>8</v>
      </c>
      <c r="B36" s="93">
        <v>1777</v>
      </c>
      <c r="C36" s="84" t="s">
        <v>147</v>
      </c>
      <c r="D36" s="88">
        <v>270000</v>
      </c>
      <c r="E36" s="88">
        <v>270000</v>
      </c>
      <c r="F36" s="88">
        <f t="shared" si="15"/>
        <v>0</v>
      </c>
      <c r="G36" s="88">
        <v>160000</v>
      </c>
      <c r="H36" s="88">
        <v>119709</v>
      </c>
      <c r="I36" s="88"/>
      <c r="J36" s="88"/>
      <c r="K36" s="88">
        <f t="shared" si="16"/>
        <v>0</v>
      </c>
      <c r="L36" s="88">
        <f t="shared" si="17"/>
        <v>119709</v>
      </c>
      <c r="M36" s="88">
        <f t="shared" si="18"/>
        <v>150291</v>
      </c>
      <c r="N36" s="88">
        <f>110000-110000</f>
        <v>0</v>
      </c>
      <c r="O36" s="88">
        <f t="shared" si="19"/>
        <v>0</v>
      </c>
      <c r="P36" s="88">
        <f t="shared" si="20"/>
        <v>40291</v>
      </c>
      <c r="Q36" s="149">
        <v>110000</v>
      </c>
      <c r="R36" s="88"/>
      <c r="S36" s="88">
        <f t="shared" si="21"/>
        <v>110000</v>
      </c>
      <c r="T36" s="88">
        <f t="shared" si="22"/>
        <v>0</v>
      </c>
      <c r="U36" s="88">
        <f t="shared" si="23"/>
        <v>0</v>
      </c>
      <c r="V36" s="180"/>
      <c r="W36" s="88">
        <f t="shared" si="24"/>
        <v>0</v>
      </c>
      <c r="X36" s="184"/>
      <c r="Y36" s="84"/>
      <c r="Z36" s="84">
        <v>829000</v>
      </c>
    </row>
    <row r="37" spans="1:26" s="87" customFormat="1" ht="15" customHeight="1" x14ac:dyDescent="0.25">
      <c r="A37" s="84">
        <f t="shared" si="14"/>
        <v>9</v>
      </c>
      <c r="B37" s="93">
        <v>1822</v>
      </c>
      <c r="C37" s="84" t="s">
        <v>498</v>
      </c>
      <c r="D37" s="88">
        <v>565000</v>
      </c>
      <c r="E37" s="88">
        <v>565000</v>
      </c>
      <c r="F37" s="88">
        <f t="shared" si="15"/>
        <v>0</v>
      </c>
      <c r="G37" s="88">
        <v>100000</v>
      </c>
      <c r="H37" s="88">
        <v>0</v>
      </c>
      <c r="I37" s="88">
        <v>86084.15</v>
      </c>
      <c r="J37" s="88"/>
      <c r="K37" s="88">
        <f t="shared" si="16"/>
        <v>86084.15</v>
      </c>
      <c r="L37" s="88">
        <f t="shared" si="17"/>
        <v>86084.15</v>
      </c>
      <c r="M37" s="88">
        <f t="shared" si="18"/>
        <v>478915.85</v>
      </c>
      <c r="N37" s="88"/>
      <c r="O37" s="88">
        <f t="shared" si="19"/>
        <v>0</v>
      </c>
      <c r="P37" s="88">
        <f t="shared" si="20"/>
        <v>13915.850000000006</v>
      </c>
      <c r="Q37" s="88"/>
      <c r="R37" s="199">
        <v>465000</v>
      </c>
      <c r="S37" s="88">
        <f t="shared" si="21"/>
        <v>465000</v>
      </c>
      <c r="T37" s="88">
        <f t="shared" si="22"/>
        <v>0</v>
      </c>
      <c r="U37" s="88">
        <f t="shared" si="23"/>
        <v>0</v>
      </c>
      <c r="V37" s="180"/>
      <c r="W37" s="88">
        <f t="shared" si="24"/>
        <v>0</v>
      </c>
      <c r="X37" s="184"/>
      <c r="Y37" s="88"/>
      <c r="Z37" s="84">
        <v>829000</v>
      </c>
    </row>
    <row r="38" spans="1:26" s="87" customFormat="1" x14ac:dyDescent="0.25">
      <c r="A38" s="84">
        <f t="shared" si="14"/>
        <v>10</v>
      </c>
      <c r="B38" s="122">
        <v>1859</v>
      </c>
      <c r="C38" s="93" t="s">
        <v>369</v>
      </c>
      <c r="D38" s="94">
        <v>130000</v>
      </c>
      <c r="E38" s="94">
        <v>130000</v>
      </c>
      <c r="F38" s="94">
        <f t="shared" si="15"/>
        <v>0</v>
      </c>
      <c r="G38" s="94">
        <v>130000</v>
      </c>
      <c r="H38" s="94">
        <v>124605</v>
      </c>
      <c r="I38" s="94"/>
      <c r="J38" s="94"/>
      <c r="K38" s="88">
        <f t="shared" si="16"/>
        <v>0</v>
      </c>
      <c r="L38" s="88">
        <f t="shared" si="17"/>
        <v>124605</v>
      </c>
      <c r="M38" s="88">
        <f t="shared" si="18"/>
        <v>5395</v>
      </c>
      <c r="N38" s="88"/>
      <c r="O38" s="88">
        <f t="shared" si="19"/>
        <v>0</v>
      </c>
      <c r="P38" s="88">
        <f t="shared" si="20"/>
        <v>5395</v>
      </c>
      <c r="Q38" s="88"/>
      <c r="R38" s="88"/>
      <c r="S38" s="88">
        <f t="shared" si="21"/>
        <v>0</v>
      </c>
      <c r="T38" s="88">
        <f t="shared" si="22"/>
        <v>0</v>
      </c>
      <c r="U38" s="88">
        <f t="shared" si="23"/>
        <v>0</v>
      </c>
      <c r="V38" s="180"/>
      <c r="W38" s="88">
        <f t="shared" si="24"/>
        <v>0</v>
      </c>
      <c r="X38" s="184"/>
      <c r="Y38" s="84"/>
      <c r="Z38" s="93">
        <v>829000</v>
      </c>
    </row>
    <row r="39" spans="1:26" s="87" customFormat="1" x14ac:dyDescent="0.25">
      <c r="A39" s="84">
        <f t="shared" si="14"/>
        <v>11</v>
      </c>
      <c r="B39" s="122">
        <v>1898</v>
      </c>
      <c r="C39" s="84" t="s">
        <v>370</v>
      </c>
      <c r="D39" s="88">
        <v>174000</v>
      </c>
      <c r="E39" s="88">
        <v>174000</v>
      </c>
      <c r="F39" s="88">
        <f t="shared" si="15"/>
        <v>0</v>
      </c>
      <c r="G39" s="88">
        <v>174000</v>
      </c>
      <c r="H39" s="88">
        <v>0</v>
      </c>
      <c r="I39" s="88">
        <v>14115</v>
      </c>
      <c r="J39" s="88"/>
      <c r="K39" s="88">
        <f t="shared" si="16"/>
        <v>14115</v>
      </c>
      <c r="L39" s="88">
        <f t="shared" si="17"/>
        <v>14115</v>
      </c>
      <c r="M39" s="88">
        <f t="shared" si="18"/>
        <v>159885</v>
      </c>
      <c r="N39" s="88"/>
      <c r="O39" s="88">
        <f t="shared" si="19"/>
        <v>0</v>
      </c>
      <c r="P39" s="88">
        <f t="shared" si="20"/>
        <v>159885</v>
      </c>
      <c r="Q39" s="88"/>
      <c r="R39" s="88"/>
      <c r="S39" s="88">
        <f t="shared" si="21"/>
        <v>0</v>
      </c>
      <c r="T39" s="88">
        <f t="shared" si="22"/>
        <v>0</v>
      </c>
      <c r="U39" s="88">
        <f t="shared" si="23"/>
        <v>0</v>
      </c>
      <c r="V39" s="180"/>
      <c r="W39" s="88">
        <f t="shared" si="24"/>
        <v>0</v>
      </c>
      <c r="X39" s="184"/>
      <c r="Y39" s="84"/>
      <c r="Z39" s="84">
        <v>829000</v>
      </c>
    </row>
    <row r="40" spans="1:26" s="87" customFormat="1" x14ac:dyDescent="0.25">
      <c r="A40" s="84">
        <f t="shared" si="14"/>
        <v>12</v>
      </c>
      <c r="B40" s="122">
        <v>1890</v>
      </c>
      <c r="C40" s="84" t="s">
        <v>461</v>
      </c>
      <c r="D40" s="88">
        <v>600000</v>
      </c>
      <c r="E40" s="88">
        <v>600000</v>
      </c>
      <c r="F40" s="88">
        <f t="shared" si="15"/>
        <v>0</v>
      </c>
      <c r="G40" s="94">
        <v>600000</v>
      </c>
      <c r="H40" s="88">
        <v>171466</v>
      </c>
      <c r="I40" s="88">
        <v>385213</v>
      </c>
      <c r="J40" s="88"/>
      <c r="K40" s="88">
        <f t="shared" si="16"/>
        <v>385213</v>
      </c>
      <c r="L40" s="88">
        <f t="shared" si="17"/>
        <v>556679</v>
      </c>
      <c r="M40" s="88">
        <f t="shared" si="18"/>
        <v>43321</v>
      </c>
      <c r="N40" s="88"/>
      <c r="O40" s="88">
        <f t="shared" si="19"/>
        <v>0</v>
      </c>
      <c r="P40" s="88">
        <f t="shared" si="20"/>
        <v>43321</v>
      </c>
      <c r="Q40" s="88"/>
      <c r="R40" s="88"/>
      <c r="S40" s="88"/>
      <c r="T40" s="88"/>
      <c r="U40" s="88">
        <f t="shared" si="23"/>
        <v>0</v>
      </c>
      <c r="V40" s="180"/>
      <c r="W40" s="88">
        <f t="shared" si="24"/>
        <v>0</v>
      </c>
      <c r="X40" s="184"/>
      <c r="Y40" s="84"/>
      <c r="Z40" s="84">
        <v>829000</v>
      </c>
    </row>
    <row r="41" spans="1:26" s="87" customFormat="1" x14ac:dyDescent="0.25">
      <c r="A41" s="84">
        <f t="shared" si="14"/>
        <v>13</v>
      </c>
      <c r="B41" s="122">
        <v>1875</v>
      </c>
      <c r="C41" s="84" t="s">
        <v>462</v>
      </c>
      <c r="D41" s="94">
        <v>150000</v>
      </c>
      <c r="E41" s="88">
        <v>150000</v>
      </c>
      <c r="F41" s="88">
        <f t="shared" si="15"/>
        <v>0</v>
      </c>
      <c r="G41" s="94">
        <v>150000</v>
      </c>
      <c r="H41" s="88">
        <v>138528</v>
      </c>
      <c r="I41" s="88">
        <v>11003</v>
      </c>
      <c r="J41" s="88"/>
      <c r="K41" s="88">
        <f t="shared" si="16"/>
        <v>11003</v>
      </c>
      <c r="L41" s="88">
        <f t="shared" si="17"/>
        <v>149531</v>
      </c>
      <c r="M41" s="88">
        <f t="shared" si="18"/>
        <v>469</v>
      </c>
      <c r="N41" s="94"/>
      <c r="O41" s="88">
        <f t="shared" si="19"/>
        <v>0</v>
      </c>
      <c r="P41" s="88">
        <f t="shared" si="20"/>
        <v>469</v>
      </c>
      <c r="Q41" s="88"/>
      <c r="R41" s="88"/>
      <c r="S41" s="88"/>
      <c r="T41" s="88"/>
      <c r="U41" s="88">
        <f t="shared" si="23"/>
        <v>0</v>
      </c>
      <c r="V41" s="180"/>
      <c r="W41" s="88">
        <f t="shared" si="24"/>
        <v>0</v>
      </c>
      <c r="X41" s="184"/>
      <c r="Y41" s="84"/>
      <c r="Z41" s="84">
        <v>829000</v>
      </c>
    </row>
    <row r="42" spans="1:26" s="87" customFormat="1" x14ac:dyDescent="0.25">
      <c r="A42" s="84">
        <f t="shared" si="14"/>
        <v>14</v>
      </c>
      <c r="B42" s="122">
        <v>1938</v>
      </c>
      <c r="C42" s="84" t="s">
        <v>550</v>
      </c>
      <c r="D42" s="94">
        <v>260000</v>
      </c>
      <c r="E42" s="88">
        <v>260000</v>
      </c>
      <c r="F42" s="88">
        <f t="shared" si="15"/>
        <v>0</v>
      </c>
      <c r="G42" s="94"/>
      <c r="H42" s="88"/>
      <c r="I42" s="88"/>
      <c r="J42" s="88"/>
      <c r="K42" s="88">
        <f t="shared" si="16"/>
        <v>0</v>
      </c>
      <c r="L42" s="88">
        <f t="shared" si="17"/>
        <v>0</v>
      </c>
      <c r="M42" s="88">
        <f t="shared" si="18"/>
        <v>260000</v>
      </c>
      <c r="N42" s="94"/>
      <c r="O42" s="88">
        <f t="shared" si="19"/>
        <v>0</v>
      </c>
      <c r="P42" s="88">
        <f t="shared" si="20"/>
        <v>0</v>
      </c>
      <c r="Q42" s="88"/>
      <c r="R42" s="199">
        <v>260000</v>
      </c>
      <c r="S42" s="88">
        <f>SUM(Q42:R42)</f>
        <v>260000</v>
      </c>
      <c r="T42" s="88"/>
      <c r="U42" s="88">
        <f t="shared" si="23"/>
        <v>0</v>
      </c>
      <c r="V42" s="180"/>
      <c r="W42" s="88">
        <f t="shared" si="24"/>
        <v>0</v>
      </c>
      <c r="X42" s="184"/>
      <c r="Y42" s="84"/>
      <c r="Z42" s="84">
        <v>829000</v>
      </c>
    </row>
    <row r="43" spans="1:26" s="120" customFormat="1" ht="15.6" x14ac:dyDescent="0.3">
      <c r="A43" s="28"/>
      <c r="B43" s="164"/>
      <c r="C43" s="26" t="s">
        <v>758</v>
      </c>
      <c r="D43" s="210">
        <f>SUM(D29:D42)</f>
        <v>5869000</v>
      </c>
      <c r="E43" s="210">
        <f t="shared" ref="E43:Y43" si="25">SUM(E29:E42)</f>
        <v>5569000</v>
      </c>
      <c r="F43" s="210">
        <f t="shared" si="25"/>
        <v>300000</v>
      </c>
      <c r="G43" s="210">
        <f t="shared" si="25"/>
        <v>3542000</v>
      </c>
      <c r="H43" s="210">
        <f t="shared" si="25"/>
        <v>2007665.55</v>
      </c>
      <c r="I43" s="210">
        <f t="shared" si="25"/>
        <v>846619.98</v>
      </c>
      <c r="J43" s="210">
        <f t="shared" si="25"/>
        <v>0</v>
      </c>
      <c r="K43" s="210">
        <f t="shared" si="25"/>
        <v>846619.98</v>
      </c>
      <c r="L43" s="210">
        <f t="shared" si="25"/>
        <v>2854285.53</v>
      </c>
      <c r="M43" s="210">
        <f t="shared" si="25"/>
        <v>1777714.4700000002</v>
      </c>
      <c r="N43" s="210">
        <f t="shared" si="25"/>
        <v>560000</v>
      </c>
      <c r="O43" s="210">
        <f t="shared" si="25"/>
        <v>677000</v>
      </c>
      <c r="P43" s="210">
        <f t="shared" si="25"/>
        <v>687714.47000000009</v>
      </c>
      <c r="Q43" s="210">
        <f t="shared" si="25"/>
        <v>110000</v>
      </c>
      <c r="R43" s="210">
        <f t="shared" si="25"/>
        <v>980000</v>
      </c>
      <c r="S43" s="210">
        <f t="shared" si="25"/>
        <v>1090000</v>
      </c>
      <c r="T43" s="210">
        <f t="shared" si="25"/>
        <v>0</v>
      </c>
      <c r="U43" s="210">
        <f t="shared" si="25"/>
        <v>560000</v>
      </c>
      <c r="V43" s="210">
        <f t="shared" si="25"/>
        <v>0</v>
      </c>
      <c r="W43" s="210">
        <f t="shared" si="25"/>
        <v>560000</v>
      </c>
      <c r="X43" s="210">
        <f t="shared" si="25"/>
        <v>0</v>
      </c>
      <c r="Y43" s="210">
        <f t="shared" si="25"/>
        <v>0</v>
      </c>
      <c r="Z43" s="28"/>
    </row>
    <row r="44" spans="1:26" s="87" customFormat="1" x14ac:dyDescent="0.25">
      <c r="A44" s="84"/>
      <c r="B44" s="122"/>
      <c r="C44" s="84"/>
      <c r="D44" s="94"/>
      <c r="E44" s="88"/>
      <c r="F44" s="88"/>
      <c r="G44" s="94"/>
      <c r="H44" s="88"/>
      <c r="I44" s="88"/>
      <c r="J44" s="88"/>
      <c r="K44" s="88"/>
      <c r="L44" s="88"/>
      <c r="M44" s="88"/>
      <c r="N44" s="94"/>
      <c r="O44" s="88"/>
      <c r="P44" s="88"/>
      <c r="Q44" s="88"/>
      <c r="R44" s="199"/>
      <c r="S44" s="88"/>
      <c r="T44" s="88"/>
      <c r="U44" s="88"/>
      <c r="V44" s="180"/>
      <c r="W44" s="88"/>
      <c r="X44" s="184"/>
      <c r="Y44" s="84"/>
      <c r="Z44" s="84"/>
    </row>
    <row r="45" spans="1:26" s="87" customFormat="1" ht="15" customHeight="1" x14ac:dyDescent="0.25">
      <c r="A45" s="84">
        <f>A42+1</f>
        <v>15</v>
      </c>
      <c r="B45" s="84">
        <v>1486</v>
      </c>
      <c r="C45" s="84" t="s">
        <v>120</v>
      </c>
      <c r="D45" s="88">
        <v>3400000</v>
      </c>
      <c r="E45" s="88">
        <v>3200000</v>
      </c>
      <c r="F45" s="88">
        <f>D45-E45</f>
        <v>200000</v>
      </c>
      <c r="G45" s="88">
        <v>2500000</v>
      </c>
      <c r="H45" s="88">
        <v>1692424.8</v>
      </c>
      <c r="I45" s="88">
        <v>621965.21</v>
      </c>
      <c r="J45" s="88"/>
      <c r="K45" s="88">
        <f>I45+J45</f>
        <v>621965.21</v>
      </c>
      <c r="L45" s="88">
        <f>H45+K45</f>
        <v>2314390.0099999998</v>
      </c>
      <c r="M45" s="88">
        <f>P45+S45</f>
        <v>385609.99000000022</v>
      </c>
      <c r="N45" s="88">
        <f>900000-200000</f>
        <v>700000</v>
      </c>
      <c r="O45" s="88">
        <f>D45-L45-M45-N45</f>
        <v>0</v>
      </c>
      <c r="P45" s="88">
        <f>G45-L45</f>
        <v>185609.99000000022</v>
      </c>
      <c r="Q45" s="149">
        <v>200000</v>
      </c>
      <c r="R45" s="88"/>
      <c r="S45" s="88">
        <f>SUM(Q45:R45)</f>
        <v>200000</v>
      </c>
      <c r="T45" s="88">
        <f>P45-M45+S45</f>
        <v>0</v>
      </c>
      <c r="U45" s="88">
        <f>N45-T45</f>
        <v>700000</v>
      </c>
      <c r="V45" s="180"/>
      <c r="W45" s="88">
        <f>U45-V45-X45-Y45</f>
        <v>700000</v>
      </c>
      <c r="X45" s="184"/>
      <c r="Y45" s="84"/>
      <c r="Z45" s="84">
        <v>930000</v>
      </c>
    </row>
    <row r="46" spans="1:26" s="120" customFormat="1" ht="15" customHeight="1" x14ac:dyDescent="0.25">
      <c r="A46" s="28"/>
      <c r="B46" s="28"/>
      <c r="C46" s="28">
        <v>93</v>
      </c>
      <c r="D46" s="101">
        <f>SUM(D45)</f>
        <v>3400000</v>
      </c>
      <c r="E46" s="101">
        <f t="shared" ref="E46:W46" si="26">SUM(E45)</f>
        <v>3200000</v>
      </c>
      <c r="F46" s="101">
        <f t="shared" si="26"/>
        <v>200000</v>
      </c>
      <c r="G46" s="101">
        <f t="shared" si="26"/>
        <v>2500000</v>
      </c>
      <c r="H46" s="101">
        <f t="shared" si="26"/>
        <v>1692424.8</v>
      </c>
      <c r="I46" s="101">
        <f t="shared" si="26"/>
        <v>621965.21</v>
      </c>
      <c r="J46" s="101">
        <f t="shared" si="26"/>
        <v>0</v>
      </c>
      <c r="K46" s="101">
        <f t="shared" si="26"/>
        <v>621965.21</v>
      </c>
      <c r="L46" s="101">
        <f t="shared" si="26"/>
        <v>2314390.0099999998</v>
      </c>
      <c r="M46" s="101">
        <f t="shared" si="26"/>
        <v>385609.99000000022</v>
      </c>
      <c r="N46" s="101">
        <f t="shared" si="26"/>
        <v>700000</v>
      </c>
      <c r="O46" s="101">
        <f t="shared" si="26"/>
        <v>0</v>
      </c>
      <c r="P46" s="101">
        <f t="shared" si="26"/>
        <v>185609.99000000022</v>
      </c>
      <c r="Q46" s="101">
        <f t="shared" si="26"/>
        <v>200000</v>
      </c>
      <c r="R46" s="101">
        <f t="shared" si="26"/>
        <v>0</v>
      </c>
      <c r="S46" s="101">
        <f t="shared" si="26"/>
        <v>200000</v>
      </c>
      <c r="T46" s="101">
        <f t="shared" si="26"/>
        <v>0</v>
      </c>
      <c r="U46" s="101">
        <f t="shared" si="26"/>
        <v>700000</v>
      </c>
      <c r="V46" s="101">
        <f t="shared" si="26"/>
        <v>0</v>
      </c>
      <c r="W46" s="101">
        <f t="shared" si="26"/>
        <v>700000</v>
      </c>
      <c r="X46" s="183"/>
      <c r="Y46" s="28"/>
      <c r="Z46" s="28"/>
    </row>
    <row r="47" spans="1:26" s="87" customFormat="1" ht="15" customHeight="1" x14ac:dyDescent="0.25">
      <c r="A47" s="84"/>
      <c r="B47" s="84"/>
      <c r="C47" s="84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149"/>
      <c r="R47" s="88"/>
      <c r="S47" s="88"/>
      <c r="T47" s="88"/>
      <c r="U47" s="88"/>
      <c r="V47" s="180"/>
      <c r="W47" s="88"/>
      <c r="X47" s="184"/>
      <c r="Y47" s="84"/>
      <c r="Z47" s="84"/>
    </row>
    <row r="48" spans="1:26" s="87" customFormat="1" ht="15.6" x14ac:dyDescent="0.25">
      <c r="A48" s="84">
        <f>A45</f>
        <v>15</v>
      </c>
      <c r="B48" s="28" t="s">
        <v>102</v>
      </c>
      <c r="C48" s="28">
        <v>82</v>
      </c>
      <c r="D48" s="101">
        <f>D46+D43</f>
        <v>9269000</v>
      </c>
      <c r="E48" s="101">
        <f t="shared" ref="E48:W48" si="27">E46+E43</f>
        <v>8769000</v>
      </c>
      <c r="F48" s="101">
        <f t="shared" si="27"/>
        <v>500000</v>
      </c>
      <c r="G48" s="101">
        <f t="shared" si="27"/>
        <v>6042000</v>
      </c>
      <c r="H48" s="101">
        <f t="shared" si="27"/>
        <v>3700090.35</v>
      </c>
      <c r="I48" s="101">
        <f t="shared" si="27"/>
        <v>1468585.19</v>
      </c>
      <c r="J48" s="101">
        <f t="shared" si="27"/>
        <v>0</v>
      </c>
      <c r="K48" s="101">
        <f t="shared" si="27"/>
        <v>1468585.19</v>
      </c>
      <c r="L48" s="101">
        <f t="shared" si="27"/>
        <v>5168675.5399999991</v>
      </c>
      <c r="M48" s="101">
        <f t="shared" si="27"/>
        <v>2163324.4600000004</v>
      </c>
      <c r="N48" s="101">
        <f t="shared" si="27"/>
        <v>1260000</v>
      </c>
      <c r="O48" s="101">
        <f t="shared" si="27"/>
        <v>677000</v>
      </c>
      <c r="P48" s="101">
        <f t="shared" si="27"/>
        <v>873324.46000000031</v>
      </c>
      <c r="Q48" s="101">
        <f t="shared" si="27"/>
        <v>310000</v>
      </c>
      <c r="R48" s="101">
        <f t="shared" si="27"/>
        <v>980000</v>
      </c>
      <c r="S48" s="101">
        <f t="shared" si="27"/>
        <v>1290000</v>
      </c>
      <c r="T48" s="101">
        <f t="shared" si="27"/>
        <v>0</v>
      </c>
      <c r="U48" s="101">
        <f t="shared" si="27"/>
        <v>1260000</v>
      </c>
      <c r="V48" s="101">
        <f t="shared" si="27"/>
        <v>0</v>
      </c>
      <c r="W48" s="101">
        <f t="shared" si="27"/>
        <v>1260000</v>
      </c>
      <c r="X48" s="183">
        <f>SUM(X29:X45)</f>
        <v>0</v>
      </c>
      <c r="Y48" s="101">
        <f>SUM(Y29:Y45)</f>
        <v>0</v>
      </c>
      <c r="Z48" s="28"/>
    </row>
    <row r="49" spans="1:26" s="87" customFormat="1" ht="15.6" x14ac:dyDescent="0.25">
      <c r="A49" s="84"/>
      <c r="B49" s="28"/>
      <c r="C49" s="28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79"/>
      <c r="W49" s="101"/>
      <c r="X49" s="183"/>
      <c r="Y49" s="101"/>
      <c r="Z49" s="28"/>
    </row>
    <row r="50" spans="1:26" s="87" customFormat="1" ht="15.6" x14ac:dyDescent="0.25">
      <c r="A50" s="101">
        <f>A48+A26</f>
        <v>33</v>
      </c>
      <c r="B50" s="122"/>
      <c r="C50" s="28" t="s">
        <v>372</v>
      </c>
      <c r="D50" s="101">
        <f>D48+D26</f>
        <v>17405700</v>
      </c>
      <c r="E50" s="101">
        <f t="shared" ref="E50:Y50" si="28">E48+E26</f>
        <v>15769000</v>
      </c>
      <c r="F50" s="101">
        <f t="shared" si="28"/>
        <v>1636700</v>
      </c>
      <c r="G50" s="101">
        <f t="shared" si="28"/>
        <v>11873621</v>
      </c>
      <c r="H50" s="101">
        <f t="shared" si="28"/>
        <v>6635514.5299999993</v>
      </c>
      <c r="I50" s="101">
        <f t="shared" si="28"/>
        <v>2607485.11</v>
      </c>
      <c r="J50" s="101">
        <f t="shared" si="28"/>
        <v>74173.58</v>
      </c>
      <c r="K50" s="101">
        <f t="shared" si="28"/>
        <v>2681658.69</v>
      </c>
      <c r="L50" s="101">
        <f t="shared" si="28"/>
        <v>9317173.2199999988</v>
      </c>
      <c r="M50" s="101">
        <f t="shared" si="28"/>
        <v>4666447.7800000012</v>
      </c>
      <c r="N50" s="101">
        <f t="shared" si="28"/>
        <v>2255079</v>
      </c>
      <c r="O50" s="101">
        <f t="shared" si="28"/>
        <v>1167000</v>
      </c>
      <c r="P50" s="101">
        <f t="shared" si="28"/>
        <v>2556447.7800000007</v>
      </c>
      <c r="Q50" s="101">
        <f t="shared" si="28"/>
        <v>460000</v>
      </c>
      <c r="R50" s="101">
        <f t="shared" si="28"/>
        <v>1650000</v>
      </c>
      <c r="S50" s="101">
        <f t="shared" si="28"/>
        <v>2110000</v>
      </c>
      <c r="T50" s="101">
        <f t="shared" si="28"/>
        <v>0</v>
      </c>
      <c r="U50" s="101">
        <f t="shared" si="28"/>
        <v>2255079</v>
      </c>
      <c r="V50" s="101">
        <f t="shared" si="28"/>
        <v>0</v>
      </c>
      <c r="W50" s="101">
        <f t="shared" si="28"/>
        <v>1745000</v>
      </c>
      <c r="X50" s="101">
        <f t="shared" si="28"/>
        <v>0</v>
      </c>
      <c r="Y50" s="101">
        <f t="shared" si="28"/>
        <v>510079</v>
      </c>
      <c r="Z50" s="122"/>
    </row>
    <row r="51" spans="1:26" s="87" customFormat="1" ht="15.6" x14ac:dyDescent="0.25">
      <c r="A51" s="101"/>
      <c r="B51" s="122"/>
      <c r="C51" s="28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79"/>
      <c r="W51" s="101"/>
      <c r="X51" s="183"/>
      <c r="Y51" s="101"/>
      <c r="Z51" s="113"/>
    </row>
    <row r="52" spans="1:26" s="87" customFormat="1" x14ac:dyDescent="0.25">
      <c r="A52" s="98"/>
      <c r="B52" s="80"/>
      <c r="C52" s="80"/>
      <c r="D52" s="105"/>
      <c r="E52" s="105"/>
      <c r="F52" s="105"/>
      <c r="G52" s="105"/>
      <c r="H52" s="105"/>
      <c r="I52" s="105"/>
      <c r="J52" s="105"/>
      <c r="K52" s="105"/>
      <c r="L52" s="165">
        <f>K50+H50</f>
        <v>9317173.2199999988</v>
      </c>
      <c r="M52" s="165">
        <f>G50-L50+S50</f>
        <v>4666447.7800000012</v>
      </c>
      <c r="N52" s="105"/>
      <c r="O52" s="105"/>
      <c r="P52" s="165">
        <f>G50-L50</f>
        <v>2556447.7800000012</v>
      </c>
      <c r="Q52" s="105"/>
      <c r="R52" s="105"/>
      <c r="S52" s="105"/>
      <c r="T52" s="105"/>
      <c r="U52" s="80"/>
      <c r="V52" s="80"/>
      <c r="W52" s="80"/>
      <c r="X52" s="80"/>
      <c r="Y52" s="80"/>
      <c r="Z52" s="80"/>
    </row>
    <row r="53" spans="1:26" s="87" customFormat="1" x14ac:dyDescent="0.25">
      <c r="A53" s="98"/>
      <c r="B53" s="80"/>
      <c r="C53" s="80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80"/>
      <c r="V53" s="80"/>
      <c r="W53" s="80"/>
      <c r="X53" s="80"/>
      <c r="Y53" s="80"/>
      <c r="Z53" s="80"/>
    </row>
    <row r="54" spans="1:26" s="87" customFormat="1" hidden="1" x14ac:dyDescent="0.25">
      <c r="A54" s="98"/>
      <c r="B54" s="80"/>
      <c r="C54" s="80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 t="s">
        <v>411</v>
      </c>
      <c r="P54" s="87" t="s">
        <v>463</v>
      </c>
      <c r="Q54" s="104">
        <f>'[1]חינוך תנוס '!$AY$44</f>
        <v>460000</v>
      </c>
      <c r="R54" s="105"/>
      <c r="S54" s="105"/>
      <c r="T54" s="105"/>
      <c r="U54" s="80"/>
      <c r="V54" s="80"/>
      <c r="W54" s="80"/>
      <c r="X54" s="80"/>
      <c r="Y54" s="80"/>
      <c r="Z54" s="80"/>
    </row>
    <row r="55" spans="1:26" s="87" customFormat="1" hidden="1" x14ac:dyDescent="0.25">
      <c r="A55" s="98"/>
      <c r="B55" s="80"/>
      <c r="C55" s="80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R55" s="104">
        <v>165000</v>
      </c>
      <c r="S55" s="87" t="s">
        <v>222</v>
      </c>
      <c r="T55" s="105"/>
      <c r="U55" s="80"/>
      <c r="V55" s="80"/>
      <c r="W55" s="80"/>
      <c r="X55" s="80"/>
      <c r="Y55" s="80"/>
      <c r="Z55" s="80"/>
    </row>
    <row r="56" spans="1:26" s="87" customFormat="1" hidden="1" x14ac:dyDescent="0.25">
      <c r="A56" s="98"/>
      <c r="B56" s="80"/>
      <c r="C56" s="80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206" t="s">
        <v>518</v>
      </c>
      <c r="Q56" s="201">
        <f>'[3]חינוך תנוס '!$AZ$43</f>
        <v>310000</v>
      </c>
      <c r="R56" s="104">
        <v>300000</v>
      </c>
      <c r="S56" s="87" t="s">
        <v>223</v>
      </c>
      <c r="T56" s="105"/>
      <c r="U56" s="80"/>
      <c r="V56" s="80"/>
      <c r="W56" s="80"/>
      <c r="X56" s="80"/>
      <c r="Y56" s="80"/>
      <c r="Z56" s="80"/>
    </row>
    <row r="57" spans="1:26" s="87" customFormat="1" hidden="1" x14ac:dyDescent="0.25">
      <c r="A57" s="98"/>
      <c r="B57" s="80"/>
      <c r="C57" s="80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206" t="s">
        <v>524</v>
      </c>
      <c r="Q57" s="201">
        <f>'[5]חינוך תנוס '!$BC$43</f>
        <v>150000</v>
      </c>
      <c r="S57" s="105"/>
      <c r="T57" s="105"/>
      <c r="U57" s="80"/>
      <c r="V57" s="80"/>
      <c r="W57" s="80"/>
      <c r="X57" s="80"/>
      <c r="Y57" s="80"/>
      <c r="Z57" s="80"/>
    </row>
    <row r="58" spans="1:26" s="87" customFormat="1" hidden="1" x14ac:dyDescent="0.25">
      <c r="A58" s="98"/>
      <c r="B58" s="80"/>
      <c r="C58" s="80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Q58" s="201">
        <f>SUM(Q56:Q57)</f>
        <v>460000</v>
      </c>
      <c r="S58" s="105"/>
      <c r="T58" s="105"/>
      <c r="U58" s="80"/>
      <c r="V58" s="80"/>
      <c r="W58" s="80"/>
      <c r="X58" s="80"/>
      <c r="Y58" s="80"/>
      <c r="Z58" s="80"/>
    </row>
    <row r="59" spans="1:26" s="87" customFormat="1" hidden="1" x14ac:dyDescent="0.25">
      <c r="A59" s="98"/>
      <c r="B59" s="80"/>
      <c r="C59" s="80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 t="s">
        <v>464</v>
      </c>
      <c r="P59" s="87" t="s">
        <v>366</v>
      </c>
      <c r="Q59" s="105"/>
      <c r="R59" s="105">
        <f>'[1]ריכוז תקציבים מעבר לתוכנית 31.8'!$AD$115</f>
        <v>670000</v>
      </c>
      <c r="S59" s="105"/>
      <c r="T59" s="105"/>
      <c r="U59" s="80"/>
      <c r="V59" s="80"/>
      <c r="W59" s="80"/>
      <c r="X59" s="80"/>
      <c r="Y59" s="80"/>
      <c r="Z59" s="80"/>
    </row>
    <row r="60" spans="1:26" hidden="1" x14ac:dyDescent="0.25">
      <c r="P60" s="87" t="s">
        <v>368</v>
      </c>
      <c r="R60" s="105">
        <f>'[1]ריכוז תקציבים מעבר לתוכנית 31.8'!$AD$126</f>
        <v>980000</v>
      </c>
    </row>
    <row r="61" spans="1:26" hidden="1" x14ac:dyDescent="0.25">
      <c r="P61" s="87"/>
      <c r="R61" s="104">
        <f>SUM(R59:R60)</f>
        <v>1650000</v>
      </c>
    </row>
    <row r="62" spans="1:26" hidden="1" x14ac:dyDescent="0.25"/>
    <row r="63" spans="1:26" hidden="1" x14ac:dyDescent="0.25">
      <c r="O63" s="105" t="s">
        <v>366</v>
      </c>
      <c r="P63" s="105" t="s">
        <v>464</v>
      </c>
      <c r="Q63" s="105" t="s">
        <v>516</v>
      </c>
      <c r="R63" s="200">
        <v>670000</v>
      </c>
    </row>
    <row r="64" spans="1:26" hidden="1" x14ac:dyDescent="0.25">
      <c r="O64" s="105" t="s">
        <v>523</v>
      </c>
      <c r="P64" s="105" t="s">
        <v>464</v>
      </c>
      <c r="Q64" s="105" t="s">
        <v>516</v>
      </c>
      <c r="R64" s="200">
        <v>980000</v>
      </c>
    </row>
    <row r="65" spans="18:18" hidden="1" x14ac:dyDescent="0.25">
      <c r="R65" s="105">
        <f>SUM(R63:R64)</f>
        <v>1650000</v>
      </c>
    </row>
    <row r="66" spans="18:18" hidden="1" x14ac:dyDescent="0.25"/>
    <row r="67" spans="18:18" hidden="1" x14ac:dyDescent="0.25"/>
  </sheetData>
  <sheetProtection formatCells="0" formatColumns="0" formatRows="0" insertColumns="0" insertRows="0" insertHyperlinks="0" deleteColumns="0" deleteRows="0" sort="0" autoFilter="0" pivotTables="0"/>
  <sortState ref="A29:AE43">
    <sortCondition ref="Z29:Z43"/>
  </sortState>
  <mergeCells count="2">
    <mergeCell ref="A2:W2"/>
    <mergeCell ref="A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115"/>
  <sheetViews>
    <sheetView showZeros="0" rightToLeft="1" zoomScaleNormal="100" workbookViewId="0">
      <pane xSplit="3" ySplit="5" topLeftCell="D18" activePane="bottomRight" state="frozen"/>
      <selection activeCell="E29" sqref="E29"/>
      <selection pane="topRight" activeCell="E29" sqref="E29"/>
      <selection pane="bottomLeft" activeCell="E29" sqref="E29"/>
      <selection pane="bottomRight" activeCell="V25" sqref="V25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5.6640625" style="80" customWidth="1"/>
    <col min="4" max="4" width="11.5546875" style="105" customWidth="1"/>
    <col min="5" max="5" width="11.109375" style="105" customWidth="1"/>
    <col min="6" max="6" width="10.5546875" style="105" customWidth="1"/>
    <col min="7" max="7" width="11.109375" style="105" hidden="1" customWidth="1"/>
    <col min="8" max="10" width="12.6640625" style="105" hidden="1" customWidth="1"/>
    <col min="11" max="11" width="11.33203125" style="105" hidden="1" customWidth="1"/>
    <col min="12" max="12" width="11.109375" style="105" customWidth="1"/>
    <col min="13" max="13" width="8.88671875" style="105" customWidth="1"/>
    <col min="14" max="14" width="10.44140625" style="105" customWidth="1"/>
    <col min="15" max="15" width="10.6640625" style="105" customWidth="1"/>
    <col min="16" max="17" width="11.109375" style="105" hidden="1" customWidth="1"/>
    <col min="18" max="19" width="12" style="105" hidden="1" customWidth="1"/>
    <col min="20" max="20" width="9" style="105" customWidth="1"/>
    <col min="21" max="21" width="10" style="211" customWidth="1"/>
    <col min="22" max="22" width="10.33203125" style="80" bestFit="1" customWidth="1"/>
    <col min="23" max="23" width="9.109375" style="80" customWidth="1"/>
    <col min="24" max="24" width="5.33203125" style="80" hidden="1" customWidth="1"/>
    <col min="25" max="26" width="7.88671875" style="80" customWidth="1"/>
    <col min="27" max="16384" width="9.109375" style="80"/>
  </cols>
  <sheetData>
    <row r="2" spans="1:26" s="79" customFormat="1" ht="18" x14ac:dyDescent="0.35">
      <c r="A2" s="451" t="s">
        <v>298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3" spans="1:26" ht="18" x14ac:dyDescent="0.35">
      <c r="A3" s="451" t="s">
        <v>295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</row>
    <row r="5" spans="1:26" s="107" customFormat="1" ht="86.25" customHeight="1" x14ac:dyDescent="0.25">
      <c r="A5" s="106" t="s">
        <v>0</v>
      </c>
      <c r="B5" s="106" t="s">
        <v>1</v>
      </c>
      <c r="C5" s="106" t="s">
        <v>2</v>
      </c>
      <c r="D5" s="106" t="s">
        <v>3</v>
      </c>
      <c r="E5" s="106" t="s">
        <v>4</v>
      </c>
      <c r="F5" s="106" t="s">
        <v>5</v>
      </c>
      <c r="G5" s="106" t="s">
        <v>6</v>
      </c>
      <c r="H5" s="106" t="s">
        <v>7</v>
      </c>
      <c r="I5" s="106" t="s">
        <v>8</v>
      </c>
      <c r="J5" s="106" t="s">
        <v>9</v>
      </c>
      <c r="K5" s="106" t="s">
        <v>10</v>
      </c>
      <c r="L5" s="106" t="s">
        <v>11</v>
      </c>
      <c r="M5" s="82" t="s">
        <v>492</v>
      </c>
      <c r="N5" s="106" t="s">
        <v>299</v>
      </c>
      <c r="O5" s="106" t="s">
        <v>300</v>
      </c>
      <c r="P5" s="106" t="s">
        <v>12</v>
      </c>
      <c r="Q5" s="106" t="s">
        <v>301</v>
      </c>
      <c r="R5" s="106" t="s">
        <v>302</v>
      </c>
      <c r="S5" s="106" t="s">
        <v>303</v>
      </c>
      <c r="T5" s="106" t="s">
        <v>304</v>
      </c>
      <c r="U5" s="220" t="s">
        <v>305</v>
      </c>
      <c r="V5" s="106" t="s">
        <v>13</v>
      </c>
      <c r="W5" s="106" t="s">
        <v>14</v>
      </c>
      <c r="X5" s="106" t="s">
        <v>15</v>
      </c>
      <c r="Y5" s="106" t="s">
        <v>223</v>
      </c>
      <c r="Z5" s="170" t="s">
        <v>16</v>
      </c>
    </row>
    <row r="6" spans="1:26" s="87" customFormat="1" x14ac:dyDescent="0.25">
      <c r="A6" s="85"/>
      <c r="B6" s="85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209"/>
      <c r="V6" s="86"/>
      <c r="W6" s="86"/>
      <c r="X6" s="86"/>
      <c r="Y6" s="85"/>
      <c r="Z6" s="243"/>
    </row>
    <row r="7" spans="1:26" s="87" customFormat="1" ht="15.6" x14ac:dyDescent="0.25">
      <c r="A7" s="84"/>
      <c r="B7" s="84"/>
      <c r="C7" s="28" t="s">
        <v>224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94"/>
      <c r="V7" s="88"/>
      <c r="W7" s="88"/>
      <c r="X7" s="88"/>
      <c r="Y7" s="84"/>
      <c r="Z7" s="228"/>
    </row>
    <row r="8" spans="1:26" s="87" customFormat="1" x14ac:dyDescent="0.25">
      <c r="A8" s="84">
        <f>A7+1</f>
        <v>1</v>
      </c>
      <c r="B8" s="84">
        <v>1861</v>
      </c>
      <c r="C8" s="84" t="s">
        <v>385</v>
      </c>
      <c r="D8" s="88">
        <v>270000</v>
      </c>
      <c r="E8" s="88">
        <v>270000</v>
      </c>
      <c r="F8" s="88">
        <f>D8-E8</f>
        <v>0</v>
      </c>
      <c r="G8" s="88">
        <v>0</v>
      </c>
      <c r="H8" s="88">
        <v>0</v>
      </c>
      <c r="I8" s="88">
        <v>0</v>
      </c>
      <c r="J8" s="88"/>
      <c r="K8" s="88">
        <f>SUM(I8:J8)</f>
        <v>0</v>
      </c>
      <c r="L8" s="88">
        <f>H8+K8</f>
        <v>0</v>
      </c>
      <c r="M8" s="88">
        <f>P8+S8</f>
        <v>0</v>
      </c>
      <c r="N8" s="88">
        <v>270000</v>
      </c>
      <c r="O8" s="88">
        <f>D8-L8-M8-N8</f>
        <v>0</v>
      </c>
      <c r="P8" s="88">
        <f>G8-L8</f>
        <v>0</v>
      </c>
      <c r="Q8" s="88"/>
      <c r="R8" s="88"/>
      <c r="S8" s="88">
        <f>SUM(Q8:R8)</f>
        <v>0</v>
      </c>
      <c r="T8" s="88">
        <f>P8-M8+S8</f>
        <v>0</v>
      </c>
      <c r="U8" s="94">
        <f>N8-T8</f>
        <v>270000</v>
      </c>
      <c r="V8" s="88"/>
      <c r="W8" s="88">
        <f>U8-V8-X8-Y8</f>
        <v>270000</v>
      </c>
      <c r="X8" s="88"/>
      <c r="Y8" s="84"/>
      <c r="Z8" s="228">
        <v>714000</v>
      </c>
    </row>
    <row r="9" spans="1:26" s="87" customFormat="1" x14ac:dyDescent="0.25">
      <c r="A9" s="84">
        <f>A8+1</f>
        <v>2</v>
      </c>
      <c r="B9" s="84">
        <v>1893</v>
      </c>
      <c r="C9" s="84" t="s">
        <v>386</v>
      </c>
      <c r="D9" s="88">
        <v>300000</v>
      </c>
      <c r="E9" s="88">
        <v>300000</v>
      </c>
      <c r="F9" s="88">
        <f>D9-E9</f>
        <v>0</v>
      </c>
      <c r="G9" s="88">
        <v>150000</v>
      </c>
      <c r="H9" s="88">
        <v>0</v>
      </c>
      <c r="I9" s="88">
        <v>0</v>
      </c>
      <c r="J9" s="88"/>
      <c r="K9" s="88">
        <f>SUM(I9:J9)</f>
        <v>0</v>
      </c>
      <c r="L9" s="88">
        <f>H9+K9</f>
        <v>0</v>
      </c>
      <c r="M9" s="88">
        <f>P9+S9</f>
        <v>150000</v>
      </c>
      <c r="N9" s="88">
        <v>150000</v>
      </c>
      <c r="O9" s="88">
        <f>D9-L9-M9-N9</f>
        <v>0</v>
      </c>
      <c r="P9" s="88">
        <f>G9-L9</f>
        <v>150000</v>
      </c>
      <c r="Q9" s="88"/>
      <c r="R9" s="88"/>
      <c r="S9" s="88">
        <f>SUM(Q9:R9)</f>
        <v>0</v>
      </c>
      <c r="T9" s="88">
        <f>P9-M9+S9</f>
        <v>0</v>
      </c>
      <c r="U9" s="94">
        <f>N9-T9</f>
        <v>150000</v>
      </c>
      <c r="V9" s="88"/>
      <c r="W9" s="88">
        <f>U9-V9-X9-Y9</f>
        <v>150000</v>
      </c>
      <c r="X9" s="88"/>
      <c r="Y9" s="84"/>
      <c r="Z9" s="228">
        <v>714000</v>
      </c>
    </row>
    <row r="10" spans="1:26" s="120" customFormat="1" ht="15.6" x14ac:dyDescent="0.25">
      <c r="A10" s="28"/>
      <c r="B10" s="28"/>
      <c r="C10" s="28">
        <v>71</v>
      </c>
      <c r="D10" s="101">
        <f>SUM(D8:D9)</f>
        <v>570000</v>
      </c>
      <c r="E10" s="101">
        <f t="shared" ref="E10:Y10" si="0">SUM(E8:E9)</f>
        <v>570000</v>
      </c>
      <c r="F10" s="101">
        <f t="shared" si="0"/>
        <v>0</v>
      </c>
      <c r="G10" s="101">
        <f t="shared" si="0"/>
        <v>150000</v>
      </c>
      <c r="H10" s="101">
        <f t="shared" si="0"/>
        <v>0</v>
      </c>
      <c r="I10" s="101">
        <f t="shared" si="0"/>
        <v>0</v>
      </c>
      <c r="J10" s="101">
        <f t="shared" si="0"/>
        <v>0</v>
      </c>
      <c r="K10" s="101">
        <f t="shared" si="0"/>
        <v>0</v>
      </c>
      <c r="L10" s="101">
        <f t="shared" si="0"/>
        <v>0</v>
      </c>
      <c r="M10" s="101">
        <f t="shared" si="0"/>
        <v>150000</v>
      </c>
      <c r="N10" s="101">
        <f t="shared" si="0"/>
        <v>420000</v>
      </c>
      <c r="O10" s="101">
        <f t="shared" si="0"/>
        <v>0</v>
      </c>
      <c r="P10" s="101">
        <f t="shared" si="0"/>
        <v>150000</v>
      </c>
      <c r="Q10" s="101">
        <f t="shared" si="0"/>
        <v>0</v>
      </c>
      <c r="R10" s="101">
        <f t="shared" si="0"/>
        <v>0</v>
      </c>
      <c r="S10" s="101">
        <f t="shared" si="0"/>
        <v>0</v>
      </c>
      <c r="T10" s="101">
        <f t="shared" si="0"/>
        <v>0</v>
      </c>
      <c r="U10" s="101">
        <f t="shared" si="0"/>
        <v>420000</v>
      </c>
      <c r="V10" s="101">
        <f t="shared" si="0"/>
        <v>0</v>
      </c>
      <c r="W10" s="101">
        <f t="shared" si="0"/>
        <v>420000</v>
      </c>
      <c r="X10" s="101">
        <f t="shared" si="0"/>
        <v>0</v>
      </c>
      <c r="Y10" s="101">
        <f t="shared" si="0"/>
        <v>0</v>
      </c>
      <c r="Z10" s="244"/>
    </row>
    <row r="11" spans="1:26" s="87" customFormat="1" x14ac:dyDescent="0.25">
      <c r="A11" s="84"/>
      <c r="B11" s="84"/>
      <c r="C11" s="84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4"/>
      <c r="V11" s="88"/>
      <c r="W11" s="88"/>
      <c r="X11" s="88"/>
      <c r="Y11" s="84"/>
      <c r="Z11" s="228"/>
    </row>
    <row r="12" spans="1:26" s="87" customFormat="1" x14ac:dyDescent="0.25">
      <c r="A12" s="84">
        <f>A9+1</f>
        <v>3</v>
      </c>
      <c r="B12" s="84">
        <v>1973</v>
      </c>
      <c r="C12" s="84" t="s">
        <v>469</v>
      </c>
      <c r="D12" s="88">
        <v>1800000</v>
      </c>
      <c r="E12" s="88"/>
      <c r="F12" s="88">
        <f t="shared" ref="F12:F26" si="1">D12-E12</f>
        <v>1800000</v>
      </c>
      <c r="G12" s="88">
        <v>0</v>
      </c>
      <c r="H12" s="88">
        <v>0</v>
      </c>
      <c r="I12" s="88"/>
      <c r="J12" s="88"/>
      <c r="K12" s="88">
        <f t="shared" ref="K12:K26" si="2">SUM(I12:J12)</f>
        <v>0</v>
      </c>
      <c r="L12" s="88">
        <f t="shared" ref="L12:L26" si="3">H12+K12</f>
        <v>0</v>
      </c>
      <c r="M12" s="88">
        <f t="shared" ref="M12:M26" si="4">P12+S12</f>
        <v>0</v>
      </c>
      <c r="N12" s="88">
        <v>600000</v>
      </c>
      <c r="O12" s="88">
        <f t="shared" ref="O12:O26" si="5">D12-L12-M12-N12</f>
        <v>1200000</v>
      </c>
      <c r="P12" s="88">
        <f t="shared" ref="P12:P26" si="6">G12-L12</f>
        <v>0</v>
      </c>
      <c r="Q12" s="88"/>
      <c r="R12" s="88"/>
      <c r="S12" s="88">
        <f t="shared" ref="S12:S26" si="7">SUM(Q12:R12)</f>
        <v>0</v>
      </c>
      <c r="T12" s="88">
        <f t="shared" ref="T12:T26" si="8">P12-M12+S12</f>
        <v>0</v>
      </c>
      <c r="U12" s="94">
        <f t="shared" ref="U12:U26" si="9">N12-T12</f>
        <v>600000</v>
      </c>
      <c r="V12" s="88"/>
      <c r="W12" s="88">
        <f t="shared" ref="W12:W26" si="10">U12-V12-X12-Y12</f>
        <v>600000</v>
      </c>
      <c r="X12" s="88"/>
      <c r="Y12" s="84"/>
      <c r="Z12" s="228">
        <v>742000</v>
      </c>
    </row>
    <row r="13" spans="1:26" s="87" customFormat="1" x14ac:dyDescent="0.25">
      <c r="A13" s="84">
        <f>A12+1</f>
        <v>4</v>
      </c>
      <c r="B13" s="84">
        <v>1165</v>
      </c>
      <c r="C13" s="84" t="s">
        <v>226</v>
      </c>
      <c r="D13" s="88">
        <v>14550000</v>
      </c>
      <c r="E13" s="88">
        <v>11650000</v>
      </c>
      <c r="F13" s="88">
        <f t="shared" si="1"/>
        <v>2900000</v>
      </c>
      <c r="G13" s="88">
        <v>10150000</v>
      </c>
      <c r="H13" s="88">
        <v>9402736.0800000001</v>
      </c>
      <c r="I13" s="88">
        <v>746481.07</v>
      </c>
      <c r="J13" s="88"/>
      <c r="K13" s="88">
        <f t="shared" si="2"/>
        <v>746481.07</v>
      </c>
      <c r="L13" s="88">
        <f t="shared" si="3"/>
        <v>10149217.15</v>
      </c>
      <c r="M13" s="88">
        <f t="shared" si="4"/>
        <v>782.84999999962747</v>
      </c>
      <c r="N13" s="88">
        <f>2900000-400000-1400000-200000</f>
        <v>900000</v>
      </c>
      <c r="O13" s="88">
        <f t="shared" si="5"/>
        <v>3500000</v>
      </c>
      <c r="P13" s="88">
        <f t="shared" si="6"/>
        <v>782.84999999962747</v>
      </c>
      <c r="Q13" s="88"/>
      <c r="R13" s="88"/>
      <c r="S13" s="88">
        <f t="shared" si="7"/>
        <v>0</v>
      </c>
      <c r="T13" s="88">
        <f t="shared" si="8"/>
        <v>0</v>
      </c>
      <c r="U13" s="94">
        <f t="shared" si="9"/>
        <v>900000</v>
      </c>
      <c r="V13" s="88">
        <v>800000</v>
      </c>
      <c r="W13" s="88">
        <f t="shared" si="10"/>
        <v>100000</v>
      </c>
      <c r="X13" s="88"/>
      <c r="Y13" s="84"/>
      <c r="Z13" s="228">
        <v>746000</v>
      </c>
    </row>
    <row r="14" spans="1:26" s="87" customFormat="1" x14ac:dyDescent="0.25">
      <c r="A14" s="84">
        <f t="shared" ref="A14:A26" si="11">A13+1</f>
        <v>5</v>
      </c>
      <c r="B14" s="84">
        <v>1166</v>
      </c>
      <c r="C14" s="84" t="s">
        <v>277</v>
      </c>
      <c r="D14" s="88">
        <v>9215000</v>
      </c>
      <c r="E14" s="88">
        <v>7715000</v>
      </c>
      <c r="F14" s="88">
        <f t="shared" si="1"/>
        <v>1500000</v>
      </c>
      <c r="G14" s="88">
        <v>7115000</v>
      </c>
      <c r="H14" s="88">
        <v>6711424.3399999999</v>
      </c>
      <c r="I14" s="88">
        <v>397534.64</v>
      </c>
      <c r="J14" s="88"/>
      <c r="K14" s="88">
        <f t="shared" si="2"/>
        <v>397534.64</v>
      </c>
      <c r="L14" s="88">
        <f t="shared" si="3"/>
        <v>7108958.9799999995</v>
      </c>
      <c r="M14" s="88">
        <f t="shared" si="4"/>
        <v>6041.0200000004843</v>
      </c>
      <c r="N14" s="88">
        <f>1500000-500000</f>
        <v>1000000</v>
      </c>
      <c r="O14" s="88">
        <f t="shared" si="5"/>
        <v>1100000</v>
      </c>
      <c r="P14" s="88">
        <f t="shared" si="6"/>
        <v>6041.0200000004843</v>
      </c>
      <c r="Q14" s="88"/>
      <c r="R14" s="88"/>
      <c r="S14" s="88">
        <f t="shared" si="7"/>
        <v>0</v>
      </c>
      <c r="T14" s="88">
        <f t="shared" si="8"/>
        <v>0</v>
      </c>
      <c r="U14" s="94">
        <f t="shared" si="9"/>
        <v>1000000</v>
      </c>
      <c r="V14" s="88">
        <v>1000000</v>
      </c>
      <c r="W14" s="88">
        <f t="shared" si="10"/>
        <v>0</v>
      </c>
      <c r="X14" s="88"/>
      <c r="Y14" s="84"/>
      <c r="Z14" s="228">
        <v>746000</v>
      </c>
    </row>
    <row r="15" spans="1:26" s="87" customFormat="1" ht="27.6" x14ac:dyDescent="0.25">
      <c r="A15" s="84">
        <f t="shared" si="11"/>
        <v>6</v>
      </c>
      <c r="B15" s="84">
        <v>1254</v>
      </c>
      <c r="C15" s="84" t="s">
        <v>278</v>
      </c>
      <c r="D15" s="88">
        <v>35440000</v>
      </c>
      <c r="E15" s="88">
        <v>31190000</v>
      </c>
      <c r="F15" s="88">
        <f t="shared" si="1"/>
        <v>4250000</v>
      </c>
      <c r="G15" s="88">
        <v>26840000</v>
      </c>
      <c r="H15" s="88">
        <v>24908160.09</v>
      </c>
      <c r="I15" s="88">
        <v>1927107.45</v>
      </c>
      <c r="J15" s="88"/>
      <c r="K15" s="88">
        <f t="shared" si="2"/>
        <v>1927107.45</v>
      </c>
      <c r="L15" s="88">
        <f t="shared" si="3"/>
        <v>26835267.539999999</v>
      </c>
      <c r="M15" s="88">
        <f t="shared" si="4"/>
        <v>454732.46000000089</v>
      </c>
      <c r="N15" s="88">
        <f>4250000-1750000-300000</f>
        <v>2200000</v>
      </c>
      <c r="O15" s="88">
        <f t="shared" si="5"/>
        <v>5950000</v>
      </c>
      <c r="P15" s="88">
        <f t="shared" si="6"/>
        <v>4732.4600000008941</v>
      </c>
      <c r="Q15" s="149">
        <v>450000</v>
      </c>
      <c r="R15" s="88"/>
      <c r="S15" s="88">
        <f t="shared" si="7"/>
        <v>450000</v>
      </c>
      <c r="T15" s="88">
        <f t="shared" si="8"/>
        <v>0</v>
      </c>
      <c r="U15" s="94">
        <f t="shared" si="9"/>
        <v>2200000</v>
      </c>
      <c r="V15" s="88">
        <v>2200000</v>
      </c>
      <c r="W15" s="88">
        <f t="shared" si="10"/>
        <v>0</v>
      </c>
      <c r="X15" s="88"/>
      <c r="Y15" s="84"/>
      <c r="Z15" s="228">
        <v>746000</v>
      </c>
    </row>
    <row r="16" spans="1:26" s="87" customFormat="1" x14ac:dyDescent="0.25">
      <c r="A16" s="84">
        <f t="shared" si="11"/>
        <v>7</v>
      </c>
      <c r="B16" s="84">
        <v>1341</v>
      </c>
      <c r="C16" s="84" t="s">
        <v>193</v>
      </c>
      <c r="D16" s="88">
        <f>1550000-1000000</f>
        <v>550000</v>
      </c>
      <c r="E16" s="88">
        <v>1050000</v>
      </c>
      <c r="F16" s="88">
        <f t="shared" si="1"/>
        <v>-500000</v>
      </c>
      <c r="G16" s="88">
        <v>550000</v>
      </c>
      <c r="H16" s="88">
        <v>290040.31</v>
      </c>
      <c r="I16" s="88">
        <v>170098.23</v>
      </c>
      <c r="J16" s="88"/>
      <c r="K16" s="88">
        <f t="shared" si="2"/>
        <v>170098.23</v>
      </c>
      <c r="L16" s="88">
        <f t="shared" si="3"/>
        <v>460138.54000000004</v>
      </c>
      <c r="M16" s="88">
        <f t="shared" si="4"/>
        <v>89861.459999999963</v>
      </c>
      <c r="N16" s="88"/>
      <c r="O16" s="88">
        <f t="shared" si="5"/>
        <v>0</v>
      </c>
      <c r="P16" s="88">
        <f t="shared" si="6"/>
        <v>89861.459999999963</v>
      </c>
      <c r="Q16" s="88"/>
      <c r="R16" s="88"/>
      <c r="S16" s="88">
        <f t="shared" si="7"/>
        <v>0</v>
      </c>
      <c r="T16" s="88">
        <f t="shared" si="8"/>
        <v>0</v>
      </c>
      <c r="U16" s="94">
        <f t="shared" si="9"/>
        <v>0</v>
      </c>
      <c r="V16" s="88"/>
      <c r="W16" s="88">
        <f t="shared" si="10"/>
        <v>0</v>
      </c>
      <c r="X16" s="88"/>
      <c r="Y16" s="84"/>
      <c r="Z16" s="228">
        <v>746000</v>
      </c>
    </row>
    <row r="17" spans="1:26" s="87" customFormat="1" x14ac:dyDescent="0.25">
      <c r="A17" s="84">
        <f t="shared" si="11"/>
        <v>8</v>
      </c>
      <c r="B17" s="84">
        <v>1342</v>
      </c>
      <c r="C17" s="84" t="s">
        <v>194</v>
      </c>
      <c r="D17" s="88">
        <v>3050000</v>
      </c>
      <c r="E17" s="88">
        <v>2300000</v>
      </c>
      <c r="F17" s="88">
        <f t="shared" si="1"/>
        <v>750000</v>
      </c>
      <c r="G17" s="88">
        <v>1950000</v>
      </c>
      <c r="H17" s="88">
        <v>1585744.64</v>
      </c>
      <c r="I17" s="88">
        <v>223951.03</v>
      </c>
      <c r="J17" s="88"/>
      <c r="K17" s="88">
        <f t="shared" si="2"/>
        <v>223951.03</v>
      </c>
      <c r="L17" s="88">
        <f t="shared" si="3"/>
        <v>1809695.67</v>
      </c>
      <c r="M17" s="88">
        <f t="shared" si="4"/>
        <v>140304.33000000007</v>
      </c>
      <c r="N17" s="88">
        <f>750000-100000-150000</f>
        <v>500000</v>
      </c>
      <c r="O17" s="88">
        <f t="shared" si="5"/>
        <v>600000</v>
      </c>
      <c r="P17" s="88">
        <f t="shared" si="6"/>
        <v>140304.33000000007</v>
      </c>
      <c r="Q17" s="88">
        <f>100000-100000</f>
        <v>0</v>
      </c>
      <c r="R17" s="88"/>
      <c r="S17" s="88">
        <f t="shared" si="7"/>
        <v>0</v>
      </c>
      <c r="T17" s="88">
        <f t="shared" si="8"/>
        <v>0</v>
      </c>
      <c r="U17" s="94">
        <f t="shared" si="9"/>
        <v>500000</v>
      </c>
      <c r="V17" s="88">
        <v>350000</v>
      </c>
      <c r="W17" s="88">
        <f t="shared" si="10"/>
        <v>150000</v>
      </c>
      <c r="X17" s="88"/>
      <c r="Y17" s="84"/>
      <c r="Z17" s="228">
        <v>746000</v>
      </c>
    </row>
    <row r="18" spans="1:26" s="87" customFormat="1" x14ac:dyDescent="0.25">
      <c r="A18" s="84">
        <f t="shared" si="11"/>
        <v>9</v>
      </c>
      <c r="B18" s="84">
        <v>1343</v>
      </c>
      <c r="C18" s="84" t="s">
        <v>195</v>
      </c>
      <c r="D18" s="88">
        <v>8320000</v>
      </c>
      <c r="E18" s="88">
        <v>6520000</v>
      </c>
      <c r="F18" s="88">
        <f t="shared" si="1"/>
        <v>1800000</v>
      </c>
      <c r="G18" s="88">
        <v>4320000</v>
      </c>
      <c r="H18" s="88">
        <v>3692096.65</v>
      </c>
      <c r="I18" s="88">
        <v>407384.91</v>
      </c>
      <c r="J18" s="88"/>
      <c r="K18" s="88">
        <f t="shared" si="2"/>
        <v>407384.91</v>
      </c>
      <c r="L18" s="88">
        <f t="shared" si="3"/>
        <v>4099481.56</v>
      </c>
      <c r="M18" s="88">
        <f t="shared" si="4"/>
        <v>220518.43999999994</v>
      </c>
      <c r="N18" s="88">
        <f>1800000-1000000</f>
        <v>800000</v>
      </c>
      <c r="O18" s="88">
        <f t="shared" si="5"/>
        <v>3199999.9999999995</v>
      </c>
      <c r="P18" s="88">
        <f t="shared" si="6"/>
        <v>220518.43999999994</v>
      </c>
      <c r="Q18" s="88"/>
      <c r="R18" s="88"/>
      <c r="S18" s="88">
        <f t="shared" si="7"/>
        <v>0</v>
      </c>
      <c r="T18" s="88">
        <f t="shared" si="8"/>
        <v>0</v>
      </c>
      <c r="U18" s="94">
        <f t="shared" si="9"/>
        <v>800000</v>
      </c>
      <c r="V18" s="88">
        <v>800000</v>
      </c>
      <c r="W18" s="88">
        <f t="shared" si="10"/>
        <v>0</v>
      </c>
      <c r="X18" s="88"/>
      <c r="Y18" s="84"/>
      <c r="Z18" s="228">
        <v>746000</v>
      </c>
    </row>
    <row r="19" spans="1:26" s="87" customFormat="1" x14ac:dyDescent="0.25">
      <c r="A19" s="84">
        <f t="shared" si="11"/>
        <v>10</v>
      </c>
      <c r="B19" s="84">
        <v>1491</v>
      </c>
      <c r="C19" s="84" t="s">
        <v>196</v>
      </c>
      <c r="D19" s="88">
        <v>13700000</v>
      </c>
      <c r="E19" s="88">
        <v>9530000</v>
      </c>
      <c r="F19" s="88">
        <f t="shared" si="1"/>
        <v>4170000</v>
      </c>
      <c r="G19" s="88">
        <v>4300000</v>
      </c>
      <c r="H19" s="88">
        <v>2949233.34</v>
      </c>
      <c r="I19" s="88">
        <v>844301.31</v>
      </c>
      <c r="J19" s="88"/>
      <c r="K19" s="88">
        <f t="shared" si="2"/>
        <v>844301.31</v>
      </c>
      <c r="L19" s="88">
        <f t="shared" si="3"/>
        <v>3793534.65</v>
      </c>
      <c r="M19" s="88">
        <f t="shared" si="4"/>
        <v>706465.35000000009</v>
      </c>
      <c r="N19" s="88">
        <f>4170000-2000000-1000000</f>
        <v>1170000</v>
      </c>
      <c r="O19" s="88">
        <f t="shared" si="5"/>
        <v>8030000</v>
      </c>
      <c r="P19" s="88">
        <f t="shared" si="6"/>
        <v>506465.35000000009</v>
      </c>
      <c r="Q19" s="199">
        <v>200000</v>
      </c>
      <c r="R19" s="88"/>
      <c r="S19" s="88">
        <f t="shared" si="7"/>
        <v>200000</v>
      </c>
      <c r="T19" s="88">
        <f t="shared" si="8"/>
        <v>0</v>
      </c>
      <c r="U19" s="94">
        <f t="shared" si="9"/>
        <v>1170000</v>
      </c>
      <c r="V19" s="88">
        <v>1170000</v>
      </c>
      <c r="W19" s="88">
        <f t="shared" si="10"/>
        <v>0</v>
      </c>
      <c r="X19" s="88"/>
      <c r="Y19" s="84"/>
      <c r="Z19" s="228">
        <v>746000</v>
      </c>
    </row>
    <row r="20" spans="1:26" s="87" customFormat="1" x14ac:dyDescent="0.25">
      <c r="A20" s="84">
        <f t="shared" si="11"/>
        <v>11</v>
      </c>
      <c r="B20" s="84">
        <v>1504</v>
      </c>
      <c r="C20" s="84" t="s">
        <v>197</v>
      </c>
      <c r="D20" s="88">
        <v>1700000</v>
      </c>
      <c r="E20" s="88">
        <v>1450000</v>
      </c>
      <c r="F20" s="88">
        <f t="shared" si="1"/>
        <v>250000</v>
      </c>
      <c r="G20" s="88">
        <v>1250000</v>
      </c>
      <c r="H20" s="88">
        <v>1172547</v>
      </c>
      <c r="I20" s="88">
        <v>59575</v>
      </c>
      <c r="J20" s="88"/>
      <c r="K20" s="88">
        <f t="shared" si="2"/>
        <v>59575</v>
      </c>
      <c r="L20" s="88">
        <f t="shared" si="3"/>
        <v>1232122</v>
      </c>
      <c r="M20" s="88">
        <f t="shared" si="4"/>
        <v>17878</v>
      </c>
      <c r="N20" s="88">
        <f>250000-200000</f>
        <v>50000</v>
      </c>
      <c r="O20" s="88">
        <f t="shared" si="5"/>
        <v>400000</v>
      </c>
      <c r="P20" s="88">
        <f t="shared" si="6"/>
        <v>17878</v>
      </c>
      <c r="Q20" s="88"/>
      <c r="R20" s="88"/>
      <c r="S20" s="88">
        <f t="shared" si="7"/>
        <v>0</v>
      </c>
      <c r="T20" s="88">
        <f t="shared" si="8"/>
        <v>0</v>
      </c>
      <c r="U20" s="94">
        <f t="shared" si="9"/>
        <v>50000</v>
      </c>
      <c r="V20" s="88"/>
      <c r="W20" s="88">
        <f t="shared" si="10"/>
        <v>50000</v>
      </c>
      <c r="X20" s="88"/>
      <c r="Y20" s="84"/>
      <c r="Z20" s="228">
        <v>746000</v>
      </c>
    </row>
    <row r="21" spans="1:26" s="87" customFormat="1" x14ac:dyDescent="0.25">
      <c r="A21" s="84">
        <f t="shared" si="11"/>
        <v>12</v>
      </c>
      <c r="B21" s="84">
        <v>1629</v>
      </c>
      <c r="C21" s="84" t="s">
        <v>199</v>
      </c>
      <c r="D21" s="88">
        <v>900000</v>
      </c>
      <c r="E21" s="88">
        <v>400000</v>
      </c>
      <c r="F21" s="88">
        <f t="shared" si="1"/>
        <v>500000</v>
      </c>
      <c r="G21" s="88">
        <v>250000</v>
      </c>
      <c r="H21" s="88">
        <v>158903.67000000001</v>
      </c>
      <c r="I21" s="88">
        <v>18626.02</v>
      </c>
      <c r="J21" s="88"/>
      <c r="K21" s="88">
        <f t="shared" si="2"/>
        <v>18626.02</v>
      </c>
      <c r="L21" s="88">
        <f t="shared" si="3"/>
        <v>177529.69</v>
      </c>
      <c r="M21" s="88">
        <f t="shared" si="4"/>
        <v>72470.31</v>
      </c>
      <c r="N21" s="88">
        <f>500000-400000</f>
        <v>100000</v>
      </c>
      <c r="O21" s="88">
        <f t="shared" si="5"/>
        <v>550000</v>
      </c>
      <c r="P21" s="88">
        <f t="shared" si="6"/>
        <v>72470.31</v>
      </c>
      <c r="Q21" s="88"/>
      <c r="R21" s="88"/>
      <c r="S21" s="88">
        <f t="shared" si="7"/>
        <v>0</v>
      </c>
      <c r="T21" s="88">
        <f t="shared" si="8"/>
        <v>0</v>
      </c>
      <c r="U21" s="94">
        <f t="shared" si="9"/>
        <v>100000</v>
      </c>
      <c r="V21" s="88"/>
      <c r="W21" s="88">
        <f t="shared" si="10"/>
        <v>100000</v>
      </c>
      <c r="X21" s="88"/>
      <c r="Y21" s="84"/>
      <c r="Z21" s="228">
        <v>746000</v>
      </c>
    </row>
    <row r="22" spans="1:26" s="87" customFormat="1" x14ac:dyDescent="0.25">
      <c r="A22" s="84">
        <f t="shared" si="11"/>
        <v>13</v>
      </c>
      <c r="B22" s="84">
        <v>1680</v>
      </c>
      <c r="C22" s="84" t="s">
        <v>200</v>
      </c>
      <c r="D22" s="88">
        <v>950000</v>
      </c>
      <c r="E22" s="88">
        <v>950000</v>
      </c>
      <c r="F22" s="88">
        <f t="shared" si="1"/>
        <v>0</v>
      </c>
      <c r="G22" s="88">
        <v>100000</v>
      </c>
      <c r="H22" s="88">
        <v>40950</v>
      </c>
      <c r="I22" s="88"/>
      <c r="J22" s="88"/>
      <c r="K22" s="88">
        <f t="shared" si="2"/>
        <v>0</v>
      </c>
      <c r="L22" s="88">
        <f t="shared" si="3"/>
        <v>40950</v>
      </c>
      <c r="M22" s="88">
        <f t="shared" si="4"/>
        <v>159050</v>
      </c>
      <c r="N22" s="88">
        <f>600000-500000</f>
        <v>100000</v>
      </c>
      <c r="O22" s="88">
        <f t="shared" si="5"/>
        <v>650000</v>
      </c>
      <c r="P22" s="88">
        <f t="shared" si="6"/>
        <v>59050</v>
      </c>
      <c r="Q22" s="199">
        <v>100000</v>
      </c>
      <c r="R22" s="88"/>
      <c r="S22" s="88">
        <f t="shared" si="7"/>
        <v>100000</v>
      </c>
      <c r="T22" s="88">
        <f t="shared" si="8"/>
        <v>0</v>
      </c>
      <c r="U22" s="94">
        <f t="shared" si="9"/>
        <v>100000</v>
      </c>
      <c r="V22" s="88"/>
      <c r="W22" s="88">
        <f t="shared" si="10"/>
        <v>100000</v>
      </c>
      <c r="X22" s="88"/>
      <c r="Y22" s="84"/>
      <c r="Z22" s="228">
        <v>746000</v>
      </c>
    </row>
    <row r="23" spans="1:26" s="87" customFormat="1" x14ac:dyDescent="0.25">
      <c r="A23" s="84">
        <f t="shared" si="11"/>
        <v>14</v>
      </c>
      <c r="B23" s="84">
        <v>1971</v>
      </c>
      <c r="C23" s="84" t="s">
        <v>467</v>
      </c>
      <c r="D23" s="88">
        <v>2500000</v>
      </c>
      <c r="E23" s="88"/>
      <c r="F23" s="88">
        <f t="shared" si="1"/>
        <v>2500000</v>
      </c>
      <c r="G23" s="88">
        <v>0</v>
      </c>
      <c r="H23" s="88">
        <v>0</v>
      </c>
      <c r="I23" s="88">
        <v>0</v>
      </c>
      <c r="J23" s="88"/>
      <c r="K23" s="88">
        <f t="shared" si="2"/>
        <v>0</v>
      </c>
      <c r="L23" s="88">
        <f t="shared" si="3"/>
        <v>0</v>
      </c>
      <c r="M23" s="88">
        <f t="shared" si="4"/>
        <v>0</v>
      </c>
      <c r="N23" s="88">
        <v>500000</v>
      </c>
      <c r="O23" s="88">
        <f t="shared" si="5"/>
        <v>2000000</v>
      </c>
      <c r="P23" s="88">
        <f t="shared" si="6"/>
        <v>0</v>
      </c>
      <c r="Q23" s="88"/>
      <c r="R23" s="88"/>
      <c r="S23" s="88">
        <f t="shared" si="7"/>
        <v>0</v>
      </c>
      <c r="T23" s="88">
        <f t="shared" si="8"/>
        <v>0</v>
      </c>
      <c r="U23" s="94">
        <f t="shared" si="9"/>
        <v>500000</v>
      </c>
      <c r="V23" s="88">
        <v>500000</v>
      </c>
      <c r="W23" s="88">
        <f t="shared" si="10"/>
        <v>0</v>
      </c>
      <c r="X23" s="88"/>
      <c r="Y23" s="84"/>
      <c r="Z23" s="228">
        <v>746000</v>
      </c>
    </row>
    <row r="24" spans="1:26" s="87" customFormat="1" x14ac:dyDescent="0.25">
      <c r="A24" s="84">
        <f t="shared" si="11"/>
        <v>15</v>
      </c>
      <c r="B24" s="84">
        <v>1972</v>
      </c>
      <c r="C24" s="84" t="s">
        <v>468</v>
      </c>
      <c r="D24" s="88">
        <v>4470000</v>
      </c>
      <c r="E24" s="88"/>
      <c r="F24" s="88">
        <f t="shared" si="1"/>
        <v>4470000</v>
      </c>
      <c r="G24" s="88">
        <v>0</v>
      </c>
      <c r="H24" s="88">
        <v>0</v>
      </c>
      <c r="I24" s="88"/>
      <c r="J24" s="88"/>
      <c r="K24" s="88">
        <f t="shared" si="2"/>
        <v>0</v>
      </c>
      <c r="L24" s="88">
        <f t="shared" si="3"/>
        <v>0</v>
      </c>
      <c r="M24" s="88">
        <f t="shared" si="4"/>
        <v>0</v>
      </c>
      <c r="N24" s="88">
        <f>500000+2000000</f>
        <v>2500000</v>
      </c>
      <c r="O24" s="88">
        <f t="shared" si="5"/>
        <v>1970000</v>
      </c>
      <c r="P24" s="88">
        <f t="shared" si="6"/>
        <v>0</v>
      </c>
      <c r="Q24" s="88"/>
      <c r="R24" s="88"/>
      <c r="S24" s="88">
        <f t="shared" si="7"/>
        <v>0</v>
      </c>
      <c r="T24" s="88">
        <f t="shared" si="8"/>
        <v>0</v>
      </c>
      <c r="U24" s="94">
        <f t="shared" si="9"/>
        <v>2500000</v>
      </c>
      <c r="V24" s="88">
        <f>500000+2000000</f>
        <v>2500000</v>
      </c>
      <c r="W24" s="88">
        <f t="shared" si="10"/>
        <v>0</v>
      </c>
      <c r="X24" s="88"/>
      <c r="Y24" s="84"/>
      <c r="Z24" s="228">
        <v>746000</v>
      </c>
    </row>
    <row r="25" spans="1:26" s="87" customFormat="1" x14ac:dyDescent="0.25">
      <c r="A25" s="84">
        <f t="shared" si="11"/>
        <v>16</v>
      </c>
      <c r="B25" s="84">
        <v>1974</v>
      </c>
      <c r="C25" s="84" t="s">
        <v>677</v>
      </c>
      <c r="D25" s="88">
        <v>500000</v>
      </c>
      <c r="E25" s="88"/>
      <c r="F25" s="88">
        <f t="shared" si="1"/>
        <v>500000</v>
      </c>
      <c r="G25" s="88">
        <v>0</v>
      </c>
      <c r="H25" s="88">
        <v>0</v>
      </c>
      <c r="I25" s="88"/>
      <c r="J25" s="88"/>
      <c r="K25" s="88">
        <f t="shared" si="2"/>
        <v>0</v>
      </c>
      <c r="L25" s="88">
        <f t="shared" si="3"/>
        <v>0</v>
      </c>
      <c r="M25" s="88">
        <f t="shared" si="4"/>
        <v>0</v>
      </c>
      <c r="N25" s="88">
        <v>500000</v>
      </c>
      <c r="O25" s="88">
        <f t="shared" si="5"/>
        <v>0</v>
      </c>
      <c r="P25" s="88">
        <f t="shared" si="6"/>
        <v>0</v>
      </c>
      <c r="Q25" s="88"/>
      <c r="R25" s="88"/>
      <c r="S25" s="88">
        <f t="shared" si="7"/>
        <v>0</v>
      </c>
      <c r="T25" s="88">
        <f t="shared" si="8"/>
        <v>0</v>
      </c>
      <c r="U25" s="94">
        <f t="shared" si="9"/>
        <v>500000</v>
      </c>
      <c r="V25" s="88">
        <v>500000</v>
      </c>
      <c r="W25" s="88">
        <f t="shared" si="10"/>
        <v>0</v>
      </c>
      <c r="X25" s="88"/>
      <c r="Y25" s="84"/>
      <c r="Z25" s="228">
        <v>746000</v>
      </c>
    </row>
    <row r="26" spans="1:26" s="87" customFormat="1" x14ac:dyDescent="0.25">
      <c r="A26" s="84">
        <f t="shared" si="11"/>
        <v>17</v>
      </c>
      <c r="B26" s="84">
        <v>1292</v>
      </c>
      <c r="C26" s="84" t="s">
        <v>192</v>
      </c>
      <c r="D26" s="88">
        <f>2900000-720000</f>
        <v>2180000</v>
      </c>
      <c r="E26" s="88">
        <v>2400000</v>
      </c>
      <c r="F26" s="88">
        <f t="shared" si="1"/>
        <v>-220000</v>
      </c>
      <c r="G26" s="88">
        <v>2180000</v>
      </c>
      <c r="H26" s="88">
        <v>2175474.5099999998</v>
      </c>
      <c r="I26" s="88">
        <v>3673.04</v>
      </c>
      <c r="J26" s="88"/>
      <c r="K26" s="88">
        <f t="shared" si="2"/>
        <v>3673.04</v>
      </c>
      <c r="L26" s="88">
        <f t="shared" si="3"/>
        <v>2179147.5499999998</v>
      </c>
      <c r="M26" s="88">
        <f t="shared" si="4"/>
        <v>852.45000000018626</v>
      </c>
      <c r="N26" s="88"/>
      <c r="O26" s="88">
        <f t="shared" si="5"/>
        <v>0</v>
      </c>
      <c r="P26" s="88">
        <f t="shared" si="6"/>
        <v>852.45000000018626</v>
      </c>
      <c r="Q26" s="88"/>
      <c r="R26" s="88"/>
      <c r="S26" s="88">
        <f t="shared" si="7"/>
        <v>0</v>
      </c>
      <c r="T26" s="88">
        <f t="shared" si="8"/>
        <v>0</v>
      </c>
      <c r="U26" s="94">
        <f t="shared" si="9"/>
        <v>0</v>
      </c>
      <c r="V26" s="88"/>
      <c r="W26" s="88">
        <f t="shared" si="10"/>
        <v>0</v>
      </c>
      <c r="X26" s="88"/>
      <c r="Y26" s="84"/>
      <c r="Z26" s="228">
        <v>746400</v>
      </c>
    </row>
    <row r="27" spans="1:26" s="120" customFormat="1" ht="15.6" x14ac:dyDescent="0.25">
      <c r="A27" s="28"/>
      <c r="B27" s="28"/>
      <c r="C27" s="28">
        <v>74</v>
      </c>
      <c r="D27" s="101">
        <f>SUM(D12:D26)</f>
        <v>99825000</v>
      </c>
      <c r="E27" s="101">
        <f t="shared" ref="E27:Y27" si="12">SUM(E12:E26)</f>
        <v>75155000</v>
      </c>
      <c r="F27" s="101">
        <f t="shared" si="12"/>
        <v>24670000</v>
      </c>
      <c r="G27" s="101">
        <f t="shared" si="12"/>
        <v>59005000</v>
      </c>
      <c r="H27" s="101">
        <f t="shared" si="12"/>
        <v>53087310.630000003</v>
      </c>
      <c r="I27" s="101">
        <f t="shared" si="12"/>
        <v>4798732.7</v>
      </c>
      <c r="J27" s="101">
        <f t="shared" si="12"/>
        <v>0</v>
      </c>
      <c r="K27" s="101">
        <f t="shared" si="12"/>
        <v>4798732.7</v>
      </c>
      <c r="L27" s="101">
        <f t="shared" si="12"/>
        <v>57886043.329999998</v>
      </c>
      <c r="M27" s="101">
        <f t="shared" si="12"/>
        <v>1868956.6700000013</v>
      </c>
      <c r="N27" s="101">
        <f t="shared" si="12"/>
        <v>10920000</v>
      </c>
      <c r="O27" s="101">
        <f t="shared" si="12"/>
        <v>29150000</v>
      </c>
      <c r="P27" s="101">
        <f t="shared" si="12"/>
        <v>1118956.6700000013</v>
      </c>
      <c r="Q27" s="101">
        <f t="shared" si="12"/>
        <v>750000</v>
      </c>
      <c r="R27" s="101">
        <f t="shared" si="12"/>
        <v>0</v>
      </c>
      <c r="S27" s="101">
        <f t="shared" si="12"/>
        <v>750000</v>
      </c>
      <c r="T27" s="101">
        <f t="shared" si="12"/>
        <v>0</v>
      </c>
      <c r="U27" s="101">
        <f t="shared" si="12"/>
        <v>10920000</v>
      </c>
      <c r="V27" s="101">
        <f t="shared" si="12"/>
        <v>9820000</v>
      </c>
      <c r="W27" s="101">
        <f t="shared" si="12"/>
        <v>1100000</v>
      </c>
      <c r="X27" s="101">
        <f t="shared" si="12"/>
        <v>0</v>
      </c>
      <c r="Y27" s="101">
        <f t="shared" si="12"/>
        <v>0</v>
      </c>
      <c r="Z27" s="244"/>
    </row>
    <row r="28" spans="1:26" s="87" customFormat="1" x14ac:dyDescent="0.25">
      <c r="A28" s="84"/>
      <c r="B28" s="84"/>
      <c r="C28" s="84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94"/>
      <c r="V28" s="88"/>
      <c r="W28" s="88"/>
      <c r="X28" s="88"/>
      <c r="Y28" s="84"/>
      <c r="Z28" s="228"/>
    </row>
    <row r="29" spans="1:26" s="87" customFormat="1" x14ac:dyDescent="0.25">
      <c r="A29" s="84"/>
      <c r="B29" s="84"/>
      <c r="C29" s="84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94"/>
      <c r="V29" s="88"/>
      <c r="W29" s="88"/>
      <c r="X29" s="88"/>
      <c r="Y29" s="84"/>
      <c r="Z29" s="228"/>
    </row>
    <row r="30" spans="1:26" s="87" customFormat="1" x14ac:dyDescent="0.25">
      <c r="A30" s="84">
        <f>A26+1</f>
        <v>18</v>
      </c>
      <c r="B30" s="84">
        <v>1192</v>
      </c>
      <c r="C30" s="84" t="s">
        <v>191</v>
      </c>
      <c r="D30" s="88">
        <v>835000</v>
      </c>
      <c r="E30" s="88">
        <v>835000</v>
      </c>
      <c r="F30" s="88">
        <f>D30-E30</f>
        <v>0</v>
      </c>
      <c r="G30" s="88">
        <v>485000</v>
      </c>
      <c r="H30" s="88">
        <v>405559.85</v>
      </c>
      <c r="I30" s="88"/>
      <c r="J30" s="88"/>
      <c r="K30" s="88">
        <f>SUM(I30:J30)</f>
        <v>0</v>
      </c>
      <c r="L30" s="88">
        <f>H30+K30</f>
        <v>405559.85</v>
      </c>
      <c r="M30" s="88">
        <f>P30+S30</f>
        <v>79440.150000000023</v>
      </c>
      <c r="N30" s="88"/>
      <c r="O30" s="88">
        <f>D30-L30-M30-N30</f>
        <v>350000</v>
      </c>
      <c r="P30" s="88">
        <f>G30-L30</f>
        <v>79440.150000000023</v>
      </c>
      <c r="Q30" s="88"/>
      <c r="R30" s="88"/>
      <c r="S30" s="88">
        <f>SUM(Q30:R30)</f>
        <v>0</v>
      </c>
      <c r="T30" s="88">
        <f>P30-M30+S30</f>
        <v>0</v>
      </c>
      <c r="U30" s="94">
        <f>N30-T30</f>
        <v>0</v>
      </c>
      <c r="V30" s="88"/>
      <c r="W30" s="88">
        <f>U30-V30-X30-Y30</f>
        <v>0</v>
      </c>
      <c r="X30" s="88"/>
      <c r="Y30" s="84"/>
      <c r="Z30" s="228">
        <v>810000</v>
      </c>
    </row>
    <row r="31" spans="1:26" s="120" customFormat="1" ht="15.6" x14ac:dyDescent="0.25">
      <c r="A31" s="28"/>
      <c r="B31" s="28"/>
      <c r="C31" s="28">
        <v>81</v>
      </c>
      <c r="D31" s="101">
        <f>SUM(D30)</f>
        <v>835000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210"/>
      <c r="V31" s="101"/>
      <c r="W31" s="101"/>
      <c r="X31" s="101"/>
      <c r="Y31" s="28"/>
      <c r="Z31" s="244"/>
    </row>
    <row r="32" spans="1:26" s="87" customFormat="1" x14ac:dyDescent="0.25">
      <c r="A32" s="84"/>
      <c r="B32" s="84"/>
      <c r="C32" s="84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94"/>
      <c r="V32" s="88"/>
      <c r="W32" s="88"/>
      <c r="X32" s="88"/>
      <c r="Y32" s="84"/>
      <c r="Z32" s="228"/>
    </row>
    <row r="33" spans="1:26" s="87" customFormat="1" x14ac:dyDescent="0.25">
      <c r="A33" s="84">
        <f>A30+1</f>
        <v>19</v>
      </c>
      <c r="B33" s="84">
        <v>1435</v>
      </c>
      <c r="C33" s="84" t="s">
        <v>388</v>
      </c>
      <c r="D33" s="88">
        <v>19800000</v>
      </c>
      <c r="E33" s="88">
        <v>16600000</v>
      </c>
      <c r="F33" s="88">
        <f>D33-E33</f>
        <v>3200000</v>
      </c>
      <c r="G33" s="88">
        <v>14700000</v>
      </c>
      <c r="H33" s="88">
        <v>12975595.25</v>
      </c>
      <c r="I33" s="88">
        <v>1622724.43</v>
      </c>
      <c r="J33" s="88"/>
      <c r="K33" s="88">
        <f>SUM(I33:J33)</f>
        <v>1622724.43</v>
      </c>
      <c r="L33" s="88">
        <f>H33+K33</f>
        <v>14598319.68</v>
      </c>
      <c r="M33" s="88">
        <f>P33+S33</f>
        <v>901680.3200000003</v>
      </c>
      <c r="N33" s="88">
        <f>3200000+74320</f>
        <v>3274320</v>
      </c>
      <c r="O33" s="88">
        <f>D33-L33-M33-N33</f>
        <v>1025680</v>
      </c>
      <c r="P33" s="88">
        <f>G33-L33</f>
        <v>101680.3200000003</v>
      </c>
      <c r="Q33" s="199">
        <v>800000</v>
      </c>
      <c r="R33" s="88"/>
      <c r="S33" s="88">
        <f>SUM(Q33:R33)</f>
        <v>800000</v>
      </c>
      <c r="T33" s="88">
        <f>P33-M33+S33</f>
        <v>0</v>
      </c>
      <c r="U33" s="94">
        <f>N33-T33</f>
        <v>3274320</v>
      </c>
      <c r="V33" s="88"/>
      <c r="W33" s="88">
        <f>U33-V33-X33-Y33</f>
        <v>3200000</v>
      </c>
      <c r="X33" s="88"/>
      <c r="Y33" s="88">
        <v>74320</v>
      </c>
      <c r="Z33" s="228">
        <v>848500</v>
      </c>
    </row>
    <row r="34" spans="1:26" s="382" customFormat="1" ht="18" x14ac:dyDescent="0.25">
      <c r="A34" s="381"/>
      <c r="B34" s="381"/>
      <c r="C34" s="90">
        <v>848</v>
      </c>
      <c r="D34" s="91">
        <f>SUM(D33)</f>
        <v>19800000</v>
      </c>
      <c r="E34" s="91">
        <f t="shared" ref="E34:Y34" si="13">SUM(E33)</f>
        <v>16600000</v>
      </c>
      <c r="F34" s="91">
        <f t="shared" si="13"/>
        <v>3200000</v>
      </c>
      <c r="G34" s="91">
        <f t="shared" si="13"/>
        <v>14700000</v>
      </c>
      <c r="H34" s="91">
        <f t="shared" si="13"/>
        <v>12975595.25</v>
      </c>
      <c r="I34" s="91">
        <f t="shared" si="13"/>
        <v>1622724.43</v>
      </c>
      <c r="J34" s="91">
        <f t="shared" si="13"/>
        <v>0</v>
      </c>
      <c r="K34" s="91">
        <f t="shared" si="13"/>
        <v>1622724.43</v>
      </c>
      <c r="L34" s="91">
        <f t="shared" si="13"/>
        <v>14598319.68</v>
      </c>
      <c r="M34" s="91">
        <f t="shared" si="13"/>
        <v>901680.3200000003</v>
      </c>
      <c r="N34" s="91">
        <f t="shared" si="13"/>
        <v>3274320</v>
      </c>
      <c r="O34" s="91">
        <f t="shared" si="13"/>
        <v>1025680</v>
      </c>
      <c r="P34" s="91">
        <f t="shared" si="13"/>
        <v>101680.3200000003</v>
      </c>
      <c r="Q34" s="91">
        <f t="shared" si="13"/>
        <v>800000</v>
      </c>
      <c r="R34" s="91">
        <f t="shared" si="13"/>
        <v>0</v>
      </c>
      <c r="S34" s="91">
        <f t="shared" si="13"/>
        <v>800000</v>
      </c>
      <c r="T34" s="91">
        <f t="shared" si="13"/>
        <v>0</v>
      </c>
      <c r="U34" s="91">
        <f t="shared" si="13"/>
        <v>3274320</v>
      </c>
      <c r="V34" s="91">
        <f t="shared" si="13"/>
        <v>0</v>
      </c>
      <c r="W34" s="91">
        <f t="shared" si="13"/>
        <v>3200000</v>
      </c>
      <c r="X34" s="91">
        <f t="shared" si="13"/>
        <v>0</v>
      </c>
      <c r="Y34" s="91">
        <f t="shared" si="13"/>
        <v>74320</v>
      </c>
      <c r="Z34" s="400"/>
    </row>
    <row r="35" spans="1:26" s="87" customFormat="1" x14ac:dyDescent="0.25">
      <c r="A35" s="84"/>
      <c r="B35" s="84"/>
      <c r="C35" s="84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199"/>
      <c r="R35" s="88"/>
      <c r="S35" s="88"/>
      <c r="T35" s="88"/>
      <c r="U35" s="94"/>
      <c r="V35" s="88"/>
      <c r="W35" s="88"/>
      <c r="X35" s="88"/>
      <c r="Y35" s="88"/>
      <c r="Z35" s="228"/>
    </row>
    <row r="36" spans="1:26" s="87" customFormat="1" x14ac:dyDescent="0.25">
      <c r="A36" s="84">
        <f>A33+1</f>
        <v>20</v>
      </c>
      <c r="B36" s="84">
        <v>1899</v>
      </c>
      <c r="C36" s="84" t="s">
        <v>466</v>
      </c>
      <c r="D36" s="88">
        <v>380000</v>
      </c>
      <c r="E36" s="88">
        <v>380000</v>
      </c>
      <c r="F36" s="88">
        <f>D36-E36</f>
        <v>0</v>
      </c>
      <c r="G36" s="88">
        <v>0</v>
      </c>
      <c r="H36" s="88">
        <v>0</v>
      </c>
      <c r="I36" s="88">
        <v>0</v>
      </c>
      <c r="J36" s="88"/>
      <c r="K36" s="88">
        <f>SUM(I36:J36)</f>
        <v>0</v>
      </c>
      <c r="L36" s="88">
        <f>H36+K36</f>
        <v>0</v>
      </c>
      <c r="M36" s="88">
        <f>P36+S36</f>
        <v>170000</v>
      </c>
      <c r="N36" s="88"/>
      <c r="O36" s="88">
        <f>D36-L36-M36-N36</f>
        <v>210000</v>
      </c>
      <c r="P36" s="88">
        <f>G36-L36</f>
        <v>0</v>
      </c>
      <c r="Q36" s="88"/>
      <c r="R36" s="199">
        <v>170000</v>
      </c>
      <c r="S36" s="88">
        <f>SUM(Q36:R36)</f>
        <v>170000</v>
      </c>
      <c r="T36" s="88">
        <f>P36-M36+S36</f>
        <v>0</v>
      </c>
      <c r="U36" s="94">
        <f>N36-T36</f>
        <v>0</v>
      </c>
      <c r="V36" s="88"/>
      <c r="W36" s="88">
        <f>U36-V36-X36-Y36</f>
        <v>0</v>
      </c>
      <c r="X36" s="88"/>
      <c r="Y36" s="84"/>
      <c r="Z36" s="228">
        <v>870000</v>
      </c>
    </row>
    <row r="37" spans="1:26" s="120" customFormat="1" ht="15.6" x14ac:dyDescent="0.25">
      <c r="A37" s="28"/>
      <c r="B37" s="28"/>
      <c r="C37" s="28">
        <v>87</v>
      </c>
      <c r="D37" s="101">
        <f>SUM(D36)</f>
        <v>380000</v>
      </c>
      <c r="E37" s="101">
        <f t="shared" ref="E37:Y37" si="14">SUM(E36)</f>
        <v>380000</v>
      </c>
      <c r="F37" s="101">
        <f t="shared" si="14"/>
        <v>0</v>
      </c>
      <c r="G37" s="101">
        <f t="shared" si="14"/>
        <v>0</v>
      </c>
      <c r="H37" s="101">
        <f t="shared" si="14"/>
        <v>0</v>
      </c>
      <c r="I37" s="101">
        <f t="shared" si="14"/>
        <v>0</v>
      </c>
      <c r="J37" s="101">
        <f t="shared" si="14"/>
        <v>0</v>
      </c>
      <c r="K37" s="101">
        <f t="shared" si="14"/>
        <v>0</v>
      </c>
      <c r="L37" s="101">
        <f t="shared" si="14"/>
        <v>0</v>
      </c>
      <c r="M37" s="101">
        <f t="shared" si="14"/>
        <v>170000</v>
      </c>
      <c r="N37" s="101">
        <f t="shared" si="14"/>
        <v>0</v>
      </c>
      <c r="O37" s="101">
        <f t="shared" si="14"/>
        <v>210000</v>
      </c>
      <c r="P37" s="101">
        <f t="shared" si="14"/>
        <v>0</v>
      </c>
      <c r="Q37" s="101">
        <f t="shared" si="14"/>
        <v>0</v>
      </c>
      <c r="R37" s="101">
        <f t="shared" si="14"/>
        <v>170000</v>
      </c>
      <c r="S37" s="101">
        <f t="shared" si="14"/>
        <v>170000</v>
      </c>
      <c r="T37" s="101">
        <f t="shared" si="14"/>
        <v>0</v>
      </c>
      <c r="U37" s="101">
        <f t="shared" si="14"/>
        <v>0</v>
      </c>
      <c r="V37" s="101">
        <f t="shared" si="14"/>
        <v>0</v>
      </c>
      <c r="W37" s="101">
        <f t="shared" si="14"/>
        <v>0</v>
      </c>
      <c r="X37" s="101">
        <f t="shared" si="14"/>
        <v>0</v>
      </c>
      <c r="Y37" s="101">
        <f t="shared" si="14"/>
        <v>0</v>
      </c>
      <c r="Z37" s="244"/>
    </row>
    <row r="38" spans="1:26" s="87" customFormat="1" x14ac:dyDescent="0.25">
      <c r="A38" s="84"/>
      <c r="B38" s="84"/>
      <c r="C38" s="84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199"/>
      <c r="S38" s="88"/>
      <c r="T38" s="88"/>
      <c r="U38" s="94"/>
      <c r="V38" s="88"/>
      <c r="W38" s="88"/>
      <c r="X38" s="88"/>
      <c r="Y38" s="84"/>
      <c r="Z38" s="228"/>
    </row>
    <row r="39" spans="1:26" s="87" customFormat="1" x14ac:dyDescent="0.25">
      <c r="A39" s="84">
        <f>A36+1</f>
        <v>21</v>
      </c>
      <c r="B39" s="84">
        <v>1564</v>
      </c>
      <c r="C39" s="84" t="s">
        <v>198</v>
      </c>
      <c r="D39" s="88">
        <v>350000</v>
      </c>
      <c r="E39" s="88">
        <v>382000</v>
      </c>
      <c r="F39" s="88">
        <f>D39-E39</f>
        <v>-32000</v>
      </c>
      <c r="G39" s="88">
        <v>350000</v>
      </c>
      <c r="H39" s="88">
        <v>333177.02</v>
      </c>
      <c r="I39" s="88">
        <v>16822.97</v>
      </c>
      <c r="J39" s="88"/>
      <c r="K39" s="88">
        <f>SUM(I39:J39)</f>
        <v>16822.97</v>
      </c>
      <c r="L39" s="88">
        <f>H39+K39</f>
        <v>349999.99</v>
      </c>
      <c r="M39" s="88">
        <f>P39+S39</f>
        <v>1.0000000009313226E-2</v>
      </c>
      <c r="N39" s="88"/>
      <c r="O39" s="88">
        <f>D39-L39-M39-N39</f>
        <v>0</v>
      </c>
      <c r="P39" s="88">
        <f>G39-L39</f>
        <v>1.0000000009313226E-2</v>
      </c>
      <c r="Q39" s="88"/>
      <c r="R39" s="88"/>
      <c r="S39" s="88">
        <f>SUM(Q39:R39)</f>
        <v>0</v>
      </c>
      <c r="T39" s="88">
        <f>P39-M39+S39</f>
        <v>0</v>
      </c>
      <c r="U39" s="94">
        <f>N39-T39</f>
        <v>0</v>
      </c>
      <c r="V39" s="88"/>
      <c r="W39" s="88">
        <f>U39-V39-X39-Y39</f>
        <v>0</v>
      </c>
      <c r="X39" s="88"/>
      <c r="Y39" s="84"/>
      <c r="Z39" s="228">
        <v>930000</v>
      </c>
    </row>
    <row r="40" spans="1:26" s="120" customFormat="1" ht="15.6" x14ac:dyDescent="0.25">
      <c r="A40" s="28"/>
      <c r="B40" s="28"/>
      <c r="C40" s="28">
        <v>93</v>
      </c>
      <c r="D40" s="101">
        <f>SUM(D39)</f>
        <v>350000</v>
      </c>
      <c r="E40" s="101">
        <f t="shared" ref="E40:Y40" si="15">SUM(E39)</f>
        <v>382000</v>
      </c>
      <c r="F40" s="101">
        <f t="shared" si="15"/>
        <v>-32000</v>
      </c>
      <c r="G40" s="101">
        <f t="shared" si="15"/>
        <v>350000</v>
      </c>
      <c r="H40" s="101">
        <f t="shared" si="15"/>
        <v>333177.02</v>
      </c>
      <c r="I40" s="101">
        <f t="shared" si="15"/>
        <v>16822.97</v>
      </c>
      <c r="J40" s="101">
        <f t="shared" si="15"/>
        <v>0</v>
      </c>
      <c r="K40" s="101">
        <f t="shared" si="15"/>
        <v>16822.97</v>
      </c>
      <c r="L40" s="101">
        <f t="shared" si="15"/>
        <v>349999.99</v>
      </c>
      <c r="M40" s="101">
        <f t="shared" si="15"/>
        <v>1.0000000009313226E-2</v>
      </c>
      <c r="N40" s="101">
        <f t="shared" si="15"/>
        <v>0</v>
      </c>
      <c r="O40" s="101">
        <f t="shared" si="15"/>
        <v>0</v>
      </c>
      <c r="P40" s="101">
        <f t="shared" si="15"/>
        <v>1.0000000009313226E-2</v>
      </c>
      <c r="Q40" s="101">
        <f t="shared" si="15"/>
        <v>0</v>
      </c>
      <c r="R40" s="101">
        <f t="shared" si="15"/>
        <v>0</v>
      </c>
      <c r="S40" s="101">
        <f t="shared" si="15"/>
        <v>0</v>
      </c>
      <c r="T40" s="101">
        <f t="shared" si="15"/>
        <v>0</v>
      </c>
      <c r="U40" s="101">
        <f t="shared" si="15"/>
        <v>0</v>
      </c>
      <c r="V40" s="101">
        <f t="shared" si="15"/>
        <v>0</v>
      </c>
      <c r="W40" s="101">
        <f t="shared" si="15"/>
        <v>0</v>
      </c>
      <c r="X40" s="101">
        <f t="shared" si="15"/>
        <v>0</v>
      </c>
      <c r="Y40" s="101">
        <f t="shared" si="15"/>
        <v>0</v>
      </c>
      <c r="Z40" s="244"/>
    </row>
    <row r="41" spans="1:26" s="87" customFormat="1" x14ac:dyDescent="0.25">
      <c r="A41" s="84"/>
      <c r="B41" s="84"/>
      <c r="C41" s="84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94"/>
      <c r="V41" s="88"/>
      <c r="W41" s="88"/>
      <c r="X41" s="88"/>
      <c r="Y41" s="84"/>
      <c r="Z41" s="228"/>
    </row>
    <row r="42" spans="1:26" s="120" customFormat="1" ht="15.6" x14ac:dyDescent="0.25">
      <c r="A42" s="28">
        <f>A39</f>
        <v>21</v>
      </c>
      <c r="B42" s="28" t="s">
        <v>102</v>
      </c>
      <c r="C42" s="28" t="s">
        <v>201</v>
      </c>
      <c r="D42" s="101">
        <f>D40+D37+D34+D31+D27+D10</f>
        <v>121760000</v>
      </c>
      <c r="E42" s="101">
        <f t="shared" ref="E42:W42" si="16">E40+E37+E34+E31+E27+E10</f>
        <v>93087000</v>
      </c>
      <c r="F42" s="101">
        <f t="shared" si="16"/>
        <v>27838000</v>
      </c>
      <c r="G42" s="101">
        <f t="shared" si="16"/>
        <v>74205000</v>
      </c>
      <c r="H42" s="101">
        <f t="shared" si="16"/>
        <v>66396082.900000006</v>
      </c>
      <c r="I42" s="101">
        <f t="shared" si="16"/>
        <v>6438280.0999999996</v>
      </c>
      <c r="J42" s="101">
        <f t="shared" si="16"/>
        <v>0</v>
      </c>
      <c r="K42" s="101">
        <f t="shared" si="16"/>
        <v>6438280.0999999996</v>
      </c>
      <c r="L42" s="101">
        <f t="shared" si="16"/>
        <v>72834363</v>
      </c>
      <c r="M42" s="101">
        <f t="shared" si="16"/>
        <v>3090637.0000000019</v>
      </c>
      <c r="N42" s="101">
        <f t="shared" si="16"/>
        <v>14614320</v>
      </c>
      <c r="O42" s="101">
        <f t="shared" si="16"/>
        <v>30385680</v>
      </c>
      <c r="P42" s="101">
        <f t="shared" si="16"/>
        <v>1370637.0000000016</v>
      </c>
      <c r="Q42" s="101">
        <f t="shared" si="16"/>
        <v>1550000</v>
      </c>
      <c r="R42" s="101">
        <f t="shared" si="16"/>
        <v>170000</v>
      </c>
      <c r="S42" s="101">
        <f t="shared" si="16"/>
        <v>1720000</v>
      </c>
      <c r="T42" s="101">
        <f t="shared" si="16"/>
        <v>0</v>
      </c>
      <c r="U42" s="101">
        <f t="shared" si="16"/>
        <v>14614320</v>
      </c>
      <c r="V42" s="101">
        <f t="shared" si="16"/>
        <v>9820000</v>
      </c>
      <c r="W42" s="101">
        <f t="shared" si="16"/>
        <v>4720000</v>
      </c>
      <c r="X42" s="101">
        <f>X40+X37+X27+X10</f>
        <v>0</v>
      </c>
      <c r="Y42" s="101">
        <f>Y40+Y37+Y27+Y10</f>
        <v>0</v>
      </c>
      <c r="Z42" s="101"/>
    </row>
    <row r="43" spans="1:26" s="120" customFormat="1" ht="15.6" x14ac:dyDescent="0.25">
      <c r="A43" s="28"/>
      <c r="B43" s="28"/>
      <c r="C43" s="28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210"/>
      <c r="V43" s="101"/>
      <c r="W43" s="101"/>
      <c r="X43" s="101"/>
      <c r="Y43" s="101"/>
      <c r="Z43" s="244"/>
    </row>
    <row r="44" spans="1:26" s="87" customFormat="1" ht="15.6" x14ac:dyDescent="0.25">
      <c r="A44" s="84"/>
      <c r="B44" s="84"/>
      <c r="C44" s="28" t="s">
        <v>225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>
        <f>P44-M44+R44</f>
        <v>0</v>
      </c>
      <c r="U44" s="94">
        <f t="shared" ref="U44:U87" si="17">N44-T44</f>
        <v>0</v>
      </c>
      <c r="V44" s="88"/>
      <c r="W44" s="88"/>
      <c r="X44" s="88"/>
      <c r="Y44" s="84"/>
      <c r="Z44" s="228"/>
    </row>
    <row r="45" spans="1:26" s="87" customFormat="1" x14ac:dyDescent="0.25">
      <c r="A45" s="84">
        <v>1</v>
      </c>
      <c r="B45" s="84">
        <v>1492</v>
      </c>
      <c r="C45" s="84" t="s">
        <v>148</v>
      </c>
      <c r="D45" s="88">
        <v>1763529</v>
      </c>
      <c r="E45" s="88">
        <v>1763529</v>
      </c>
      <c r="F45" s="88">
        <f t="shared" ref="F45:F66" si="18">D45-E45</f>
        <v>0</v>
      </c>
      <c r="G45" s="88">
        <v>1763529</v>
      </c>
      <c r="H45" s="88">
        <v>1752569.54</v>
      </c>
      <c r="I45" s="88"/>
      <c r="J45" s="88"/>
      <c r="K45" s="88">
        <f>SUM(I45:J45)</f>
        <v>0</v>
      </c>
      <c r="L45" s="88">
        <f t="shared" ref="L45:L67" si="19">H45+K45</f>
        <v>1752569.54</v>
      </c>
      <c r="M45" s="88">
        <f>P45+S45</f>
        <v>10959.459999999963</v>
      </c>
      <c r="N45" s="88"/>
      <c r="O45" s="88">
        <f t="shared" ref="O45:O67" si="20">D45-L45-M45-N45</f>
        <v>0</v>
      </c>
      <c r="P45" s="88">
        <f t="shared" ref="P45:P67" si="21">G45-L45</f>
        <v>10959.459999999963</v>
      </c>
      <c r="Q45" s="88"/>
      <c r="R45" s="88"/>
      <c r="S45" s="88">
        <f t="shared" ref="S45:S67" si="22">SUM(Q45:R45)</f>
        <v>0</v>
      </c>
      <c r="T45" s="88">
        <f t="shared" ref="T45:T67" si="23">P45-M45+S45</f>
        <v>0</v>
      </c>
      <c r="U45" s="94">
        <f t="shared" si="17"/>
        <v>0</v>
      </c>
      <c r="V45" s="88"/>
      <c r="W45" s="88">
        <f>U45-V45-X45-Y45</f>
        <v>0</v>
      </c>
      <c r="X45" s="88"/>
      <c r="Y45" s="84"/>
      <c r="Z45" s="228">
        <v>747000</v>
      </c>
    </row>
    <row r="46" spans="1:26" s="87" customFormat="1" x14ac:dyDescent="0.25">
      <c r="A46" s="84">
        <f>A45+1</f>
        <v>2</v>
      </c>
      <c r="B46" s="84">
        <v>1630</v>
      </c>
      <c r="C46" s="84" t="s">
        <v>149</v>
      </c>
      <c r="D46" s="88">
        <v>960000</v>
      </c>
      <c r="E46" s="88">
        <v>960000</v>
      </c>
      <c r="F46" s="88">
        <f t="shared" si="18"/>
        <v>0</v>
      </c>
      <c r="G46" s="88">
        <v>80000</v>
      </c>
      <c r="H46" s="88">
        <v>0</v>
      </c>
      <c r="I46" s="88">
        <v>60395</v>
      </c>
      <c r="J46" s="88"/>
      <c r="K46" s="88">
        <f t="shared" ref="K46:K54" si="24">SUM(I46:J46)</f>
        <v>60395</v>
      </c>
      <c r="L46" s="88">
        <f t="shared" si="19"/>
        <v>60395</v>
      </c>
      <c r="M46" s="88">
        <f t="shared" ref="M46:M53" si="25">P46+S46</f>
        <v>19605</v>
      </c>
      <c r="N46" s="88">
        <v>450000</v>
      </c>
      <c r="O46" s="88">
        <f t="shared" si="20"/>
        <v>430000</v>
      </c>
      <c r="P46" s="88">
        <f t="shared" si="21"/>
        <v>19605</v>
      </c>
      <c r="Q46" s="88"/>
      <c r="R46" s="88"/>
      <c r="S46" s="88">
        <f t="shared" si="22"/>
        <v>0</v>
      </c>
      <c r="T46" s="88">
        <f t="shared" si="23"/>
        <v>0</v>
      </c>
      <c r="U46" s="94">
        <f t="shared" si="17"/>
        <v>450000</v>
      </c>
      <c r="V46" s="88"/>
      <c r="W46" s="88">
        <f t="shared" ref="W46:W53" si="26">U46-V46-X46-Y46</f>
        <v>450000</v>
      </c>
      <c r="X46" s="88"/>
      <c r="Y46" s="84"/>
      <c r="Z46" s="228">
        <v>747000</v>
      </c>
    </row>
    <row r="47" spans="1:26" s="87" customFormat="1" x14ac:dyDescent="0.25">
      <c r="A47" s="84">
        <f t="shared" ref="A47:A66" si="27">A46+1</f>
        <v>3</v>
      </c>
      <c r="B47" s="84">
        <v>1634</v>
      </c>
      <c r="C47" s="84" t="s">
        <v>150</v>
      </c>
      <c r="D47" s="88">
        <v>50000</v>
      </c>
      <c r="E47" s="88">
        <v>50000</v>
      </c>
      <c r="F47" s="88">
        <f t="shared" si="18"/>
        <v>0</v>
      </c>
      <c r="G47" s="88">
        <v>50000</v>
      </c>
      <c r="H47" s="88">
        <v>36036</v>
      </c>
      <c r="I47" s="88"/>
      <c r="J47" s="88"/>
      <c r="K47" s="88">
        <f t="shared" si="24"/>
        <v>0</v>
      </c>
      <c r="L47" s="88">
        <f t="shared" si="19"/>
        <v>36036</v>
      </c>
      <c r="M47" s="88">
        <f t="shared" si="25"/>
        <v>13964</v>
      </c>
      <c r="N47" s="88"/>
      <c r="O47" s="88">
        <f t="shared" si="20"/>
        <v>0</v>
      </c>
      <c r="P47" s="88">
        <f t="shared" si="21"/>
        <v>13964</v>
      </c>
      <c r="Q47" s="88"/>
      <c r="R47" s="88"/>
      <c r="S47" s="88">
        <f t="shared" si="22"/>
        <v>0</v>
      </c>
      <c r="T47" s="88">
        <f t="shared" si="23"/>
        <v>0</v>
      </c>
      <c r="U47" s="94">
        <f t="shared" si="17"/>
        <v>0</v>
      </c>
      <c r="V47" s="88"/>
      <c r="W47" s="88">
        <f t="shared" si="26"/>
        <v>0</v>
      </c>
      <c r="X47" s="88"/>
      <c r="Y47" s="84"/>
      <c r="Z47" s="228">
        <v>747000</v>
      </c>
    </row>
    <row r="48" spans="1:26" s="87" customFormat="1" x14ac:dyDescent="0.25">
      <c r="A48" s="84">
        <f t="shared" si="27"/>
        <v>4</v>
      </c>
      <c r="B48" s="84">
        <v>1683</v>
      </c>
      <c r="C48" s="84" t="s">
        <v>151</v>
      </c>
      <c r="D48" s="88">
        <v>2300000</v>
      </c>
      <c r="E48" s="88">
        <v>2300000</v>
      </c>
      <c r="F48" s="88">
        <f t="shared" si="18"/>
        <v>0</v>
      </c>
      <c r="G48" s="88">
        <v>2300000</v>
      </c>
      <c r="H48" s="88">
        <v>2120905.9300000002</v>
      </c>
      <c r="I48" s="88">
        <v>168570.8</v>
      </c>
      <c r="J48" s="88"/>
      <c r="K48" s="88">
        <f t="shared" si="24"/>
        <v>168570.8</v>
      </c>
      <c r="L48" s="88">
        <f t="shared" si="19"/>
        <v>2289476.73</v>
      </c>
      <c r="M48" s="88">
        <f t="shared" si="25"/>
        <v>10523.270000000019</v>
      </c>
      <c r="N48" s="88"/>
      <c r="O48" s="88">
        <f t="shared" si="20"/>
        <v>0</v>
      </c>
      <c r="P48" s="88">
        <f t="shared" si="21"/>
        <v>10523.270000000019</v>
      </c>
      <c r="Q48" s="88"/>
      <c r="R48" s="88"/>
      <c r="S48" s="88">
        <f t="shared" si="22"/>
        <v>0</v>
      </c>
      <c r="T48" s="88">
        <f t="shared" si="23"/>
        <v>0</v>
      </c>
      <c r="U48" s="94">
        <f t="shared" si="17"/>
        <v>0</v>
      </c>
      <c r="V48" s="88"/>
      <c r="W48" s="88">
        <f t="shared" si="26"/>
        <v>0</v>
      </c>
      <c r="X48" s="88"/>
      <c r="Y48" s="84"/>
      <c r="Z48" s="228">
        <v>747000</v>
      </c>
    </row>
    <row r="49" spans="1:26" s="87" customFormat="1" x14ac:dyDescent="0.25">
      <c r="A49" s="84">
        <f t="shared" si="27"/>
        <v>5</v>
      </c>
      <c r="B49" s="84">
        <v>1684</v>
      </c>
      <c r="C49" s="84" t="s">
        <v>152</v>
      </c>
      <c r="D49" s="88">
        <v>400000</v>
      </c>
      <c r="E49" s="88">
        <v>300000</v>
      </c>
      <c r="F49" s="88">
        <f t="shared" si="18"/>
        <v>100000</v>
      </c>
      <c r="G49" s="88">
        <v>200000</v>
      </c>
      <c r="H49" s="88">
        <v>149999.82</v>
      </c>
      <c r="I49" s="88">
        <v>49438.63</v>
      </c>
      <c r="J49" s="88"/>
      <c r="K49" s="88">
        <f t="shared" si="24"/>
        <v>49438.63</v>
      </c>
      <c r="L49" s="88">
        <f t="shared" si="19"/>
        <v>199438.45</v>
      </c>
      <c r="M49" s="88">
        <f t="shared" si="25"/>
        <v>561.54999999998836</v>
      </c>
      <c r="N49" s="88"/>
      <c r="O49" s="88">
        <f t="shared" si="20"/>
        <v>200000</v>
      </c>
      <c r="P49" s="88">
        <f t="shared" si="21"/>
        <v>561.54999999998836</v>
      </c>
      <c r="Q49" s="88"/>
      <c r="R49" s="88"/>
      <c r="S49" s="88">
        <f t="shared" si="22"/>
        <v>0</v>
      </c>
      <c r="T49" s="88">
        <f t="shared" si="23"/>
        <v>0</v>
      </c>
      <c r="U49" s="94">
        <f t="shared" si="17"/>
        <v>0</v>
      </c>
      <c r="V49" s="88"/>
      <c r="W49" s="88">
        <f t="shared" si="26"/>
        <v>0</v>
      </c>
      <c r="X49" s="88"/>
      <c r="Y49" s="84"/>
      <c r="Z49" s="228">
        <v>747000</v>
      </c>
    </row>
    <row r="50" spans="1:26" s="87" customFormat="1" x14ac:dyDescent="0.25">
      <c r="A50" s="84">
        <f t="shared" si="27"/>
        <v>6</v>
      </c>
      <c r="B50" s="84">
        <v>1700</v>
      </c>
      <c r="C50" s="84" t="s">
        <v>560</v>
      </c>
      <c r="D50" s="88">
        <v>72000</v>
      </c>
      <c r="E50" s="88">
        <v>72000</v>
      </c>
      <c r="F50" s="88">
        <f t="shared" si="18"/>
        <v>0</v>
      </c>
      <c r="G50" s="88">
        <v>72000</v>
      </c>
      <c r="H50" s="88">
        <v>56971</v>
      </c>
      <c r="I50" s="88"/>
      <c r="J50" s="88"/>
      <c r="K50" s="88">
        <f t="shared" si="24"/>
        <v>0</v>
      </c>
      <c r="L50" s="88">
        <f t="shared" si="19"/>
        <v>56971</v>
      </c>
      <c r="M50" s="88">
        <f t="shared" si="25"/>
        <v>15029</v>
      </c>
      <c r="N50" s="88"/>
      <c r="O50" s="88">
        <f t="shared" si="20"/>
        <v>0</v>
      </c>
      <c r="P50" s="88">
        <f t="shared" si="21"/>
        <v>15029</v>
      </c>
      <c r="Q50" s="88"/>
      <c r="R50" s="88"/>
      <c r="S50" s="88">
        <f t="shared" si="22"/>
        <v>0</v>
      </c>
      <c r="T50" s="88">
        <f t="shared" si="23"/>
        <v>0</v>
      </c>
      <c r="U50" s="94">
        <f t="shared" si="17"/>
        <v>0</v>
      </c>
      <c r="V50" s="88"/>
      <c r="W50" s="88">
        <f t="shared" si="26"/>
        <v>0</v>
      </c>
      <c r="X50" s="88"/>
      <c r="Y50" s="84"/>
      <c r="Z50" s="228">
        <v>747000</v>
      </c>
    </row>
    <row r="51" spans="1:26" s="87" customFormat="1" x14ac:dyDescent="0.25">
      <c r="A51" s="84">
        <f t="shared" si="27"/>
        <v>7</v>
      </c>
      <c r="B51" s="84">
        <v>1780</v>
      </c>
      <c r="C51" s="84" t="s">
        <v>153</v>
      </c>
      <c r="D51" s="88">
        <v>70000</v>
      </c>
      <c r="E51" s="88">
        <v>70000</v>
      </c>
      <c r="F51" s="88">
        <f t="shared" si="18"/>
        <v>0</v>
      </c>
      <c r="G51" s="88">
        <v>70000</v>
      </c>
      <c r="H51" s="88">
        <v>70000</v>
      </c>
      <c r="I51" s="88"/>
      <c r="J51" s="88"/>
      <c r="K51" s="88">
        <f t="shared" si="24"/>
        <v>0</v>
      </c>
      <c r="L51" s="88">
        <f t="shared" si="19"/>
        <v>70000</v>
      </c>
      <c r="M51" s="88">
        <f t="shared" si="25"/>
        <v>0</v>
      </c>
      <c r="N51" s="88"/>
      <c r="O51" s="88">
        <f t="shared" si="20"/>
        <v>0</v>
      </c>
      <c r="P51" s="88">
        <f t="shared" si="21"/>
        <v>0</v>
      </c>
      <c r="Q51" s="88"/>
      <c r="R51" s="88"/>
      <c r="S51" s="88">
        <f t="shared" si="22"/>
        <v>0</v>
      </c>
      <c r="T51" s="88">
        <f t="shared" si="23"/>
        <v>0</v>
      </c>
      <c r="U51" s="94">
        <f t="shared" si="17"/>
        <v>0</v>
      </c>
      <c r="V51" s="88"/>
      <c r="W51" s="88">
        <f t="shared" si="26"/>
        <v>0</v>
      </c>
      <c r="X51" s="88"/>
      <c r="Y51" s="84"/>
      <c r="Z51" s="228">
        <v>747000</v>
      </c>
    </row>
    <row r="52" spans="1:26" s="87" customFormat="1" x14ac:dyDescent="0.25">
      <c r="A52" s="84">
        <f t="shared" si="27"/>
        <v>8</v>
      </c>
      <c r="B52" s="84">
        <v>1781</v>
      </c>
      <c r="C52" s="84" t="s">
        <v>389</v>
      </c>
      <c r="D52" s="88">
        <v>160000</v>
      </c>
      <c r="E52" s="88">
        <v>160000</v>
      </c>
      <c r="F52" s="88">
        <f t="shared" si="18"/>
        <v>0</v>
      </c>
      <c r="G52" s="88">
        <v>160000</v>
      </c>
      <c r="H52" s="88">
        <v>160000</v>
      </c>
      <c r="I52" s="88"/>
      <c r="J52" s="88"/>
      <c r="K52" s="88">
        <f t="shared" si="24"/>
        <v>0</v>
      </c>
      <c r="L52" s="88">
        <f t="shared" si="19"/>
        <v>160000</v>
      </c>
      <c r="M52" s="88">
        <f t="shared" si="25"/>
        <v>0</v>
      </c>
      <c r="N52" s="88"/>
      <c r="O52" s="88">
        <f t="shared" si="20"/>
        <v>0</v>
      </c>
      <c r="P52" s="88">
        <f t="shared" si="21"/>
        <v>0</v>
      </c>
      <c r="Q52" s="88"/>
      <c r="R52" s="88"/>
      <c r="S52" s="88">
        <f t="shared" si="22"/>
        <v>0</v>
      </c>
      <c r="T52" s="88">
        <f t="shared" si="23"/>
        <v>0</v>
      </c>
      <c r="U52" s="94">
        <f t="shared" si="17"/>
        <v>0</v>
      </c>
      <c r="V52" s="88"/>
      <c r="W52" s="88">
        <f t="shared" si="26"/>
        <v>0</v>
      </c>
      <c r="X52" s="88"/>
      <c r="Y52" s="84"/>
      <c r="Z52" s="228">
        <v>747000</v>
      </c>
    </row>
    <row r="53" spans="1:26" s="87" customFormat="1" x14ac:dyDescent="0.25">
      <c r="A53" s="84">
        <f t="shared" si="27"/>
        <v>9</v>
      </c>
      <c r="B53" s="84">
        <v>1782</v>
      </c>
      <c r="C53" s="84" t="s">
        <v>154</v>
      </c>
      <c r="D53" s="88">
        <v>85000</v>
      </c>
      <c r="E53" s="88">
        <v>85000</v>
      </c>
      <c r="F53" s="88">
        <f t="shared" si="18"/>
        <v>0</v>
      </c>
      <c r="G53" s="88">
        <v>85000</v>
      </c>
      <c r="H53" s="88">
        <v>63962</v>
      </c>
      <c r="I53" s="88">
        <v>21038</v>
      </c>
      <c r="J53" s="88"/>
      <c r="K53" s="88">
        <f t="shared" si="24"/>
        <v>21038</v>
      </c>
      <c r="L53" s="88">
        <f t="shared" si="19"/>
        <v>85000</v>
      </c>
      <c r="M53" s="88">
        <f t="shared" si="25"/>
        <v>0</v>
      </c>
      <c r="N53" s="88"/>
      <c r="O53" s="88">
        <f t="shared" si="20"/>
        <v>0</v>
      </c>
      <c r="P53" s="88">
        <f t="shared" si="21"/>
        <v>0</v>
      </c>
      <c r="Q53" s="88"/>
      <c r="R53" s="88"/>
      <c r="S53" s="88">
        <f t="shared" si="22"/>
        <v>0</v>
      </c>
      <c r="T53" s="88">
        <f t="shared" si="23"/>
        <v>0</v>
      </c>
      <c r="U53" s="94">
        <f t="shared" si="17"/>
        <v>0</v>
      </c>
      <c r="V53" s="88"/>
      <c r="W53" s="88">
        <f t="shared" si="26"/>
        <v>0</v>
      </c>
      <c r="X53" s="88"/>
      <c r="Y53" s="84"/>
      <c r="Z53" s="228">
        <v>747000</v>
      </c>
    </row>
    <row r="54" spans="1:26" s="87" customFormat="1" x14ac:dyDescent="0.25">
      <c r="A54" s="84">
        <f t="shared" si="27"/>
        <v>10</v>
      </c>
      <c r="B54" s="84">
        <v>1783</v>
      </c>
      <c r="C54" s="84" t="s">
        <v>390</v>
      </c>
      <c r="D54" s="88">
        <v>127000</v>
      </c>
      <c r="E54" s="88">
        <v>127000</v>
      </c>
      <c r="F54" s="88">
        <f t="shared" si="18"/>
        <v>0</v>
      </c>
      <c r="G54" s="88">
        <v>127000</v>
      </c>
      <c r="H54" s="88">
        <v>116947.8</v>
      </c>
      <c r="I54" s="88"/>
      <c r="J54" s="88"/>
      <c r="K54" s="88">
        <f t="shared" si="24"/>
        <v>0</v>
      </c>
      <c r="L54" s="88">
        <f t="shared" si="19"/>
        <v>116947.8</v>
      </c>
      <c r="M54" s="88">
        <f>P54+S54</f>
        <v>10052.199999999997</v>
      </c>
      <c r="N54" s="88"/>
      <c r="O54" s="88">
        <f t="shared" si="20"/>
        <v>0</v>
      </c>
      <c r="P54" s="88">
        <f t="shared" si="21"/>
        <v>10052.199999999997</v>
      </c>
      <c r="Q54" s="88"/>
      <c r="R54" s="88"/>
      <c r="S54" s="88">
        <f t="shared" si="22"/>
        <v>0</v>
      </c>
      <c r="T54" s="88">
        <f t="shared" si="23"/>
        <v>0</v>
      </c>
      <c r="U54" s="94">
        <f t="shared" si="17"/>
        <v>0</v>
      </c>
      <c r="V54" s="88"/>
      <c r="W54" s="88">
        <f>U54-V54-X54-Y54</f>
        <v>0</v>
      </c>
      <c r="X54" s="88"/>
      <c r="Y54" s="84"/>
      <c r="Z54" s="228">
        <v>747000</v>
      </c>
    </row>
    <row r="55" spans="1:26" s="87" customFormat="1" x14ac:dyDescent="0.25">
      <c r="A55" s="84">
        <f t="shared" si="27"/>
        <v>11</v>
      </c>
      <c r="B55" s="84">
        <v>1862</v>
      </c>
      <c r="C55" s="84" t="s">
        <v>391</v>
      </c>
      <c r="D55" s="88">
        <f>3000000-800000</f>
        <v>2200000</v>
      </c>
      <c r="E55" s="88">
        <v>3000000</v>
      </c>
      <c r="F55" s="88">
        <f t="shared" si="18"/>
        <v>-800000</v>
      </c>
      <c r="G55" s="88">
        <v>1000000</v>
      </c>
      <c r="H55" s="88">
        <v>465311.18</v>
      </c>
      <c r="I55" s="88">
        <v>414789.56</v>
      </c>
      <c r="J55" s="88">
        <v>0.2</v>
      </c>
      <c r="K55" s="88">
        <f t="shared" ref="K55:K67" si="28">SUM(I55:J55)</f>
        <v>414789.76</v>
      </c>
      <c r="L55" s="88">
        <f t="shared" si="19"/>
        <v>880100.94</v>
      </c>
      <c r="M55" s="88">
        <f t="shared" ref="M55:M61" si="29">P55+S55</f>
        <v>119899.06000000006</v>
      </c>
      <c r="N55" s="88">
        <v>1200000</v>
      </c>
      <c r="O55" s="88">
        <f t="shared" si="20"/>
        <v>0</v>
      </c>
      <c r="P55" s="88">
        <f t="shared" si="21"/>
        <v>119899.06000000006</v>
      </c>
      <c r="Q55" s="88"/>
      <c r="R55" s="88"/>
      <c r="S55" s="88">
        <f t="shared" si="22"/>
        <v>0</v>
      </c>
      <c r="T55" s="88">
        <f t="shared" si="23"/>
        <v>0</v>
      </c>
      <c r="U55" s="94">
        <f t="shared" si="17"/>
        <v>1200000</v>
      </c>
      <c r="V55" s="88"/>
      <c r="W55" s="88">
        <f t="shared" ref="W55:W61" si="30">U55-V55-X55-Y55</f>
        <v>1200000</v>
      </c>
      <c r="X55" s="88"/>
      <c r="Y55" s="84"/>
      <c r="Z55" s="228">
        <v>747000</v>
      </c>
    </row>
    <row r="56" spans="1:26" s="87" customFormat="1" x14ac:dyDescent="0.25">
      <c r="A56" s="84">
        <f t="shared" si="27"/>
        <v>12</v>
      </c>
      <c r="B56" s="84">
        <v>1863</v>
      </c>
      <c r="C56" s="84" t="s">
        <v>392</v>
      </c>
      <c r="D56" s="88">
        <v>70000</v>
      </c>
      <c r="E56" s="88">
        <v>70000</v>
      </c>
      <c r="F56" s="88">
        <f t="shared" si="18"/>
        <v>0</v>
      </c>
      <c r="G56" s="88">
        <v>70000</v>
      </c>
      <c r="H56" s="88">
        <v>0</v>
      </c>
      <c r="I56" s="88">
        <v>59286.5</v>
      </c>
      <c r="J56" s="88"/>
      <c r="K56" s="88">
        <f t="shared" si="28"/>
        <v>59286.5</v>
      </c>
      <c r="L56" s="88">
        <f t="shared" si="19"/>
        <v>59286.5</v>
      </c>
      <c r="M56" s="88">
        <f t="shared" si="29"/>
        <v>10713.5</v>
      </c>
      <c r="N56" s="88"/>
      <c r="O56" s="88">
        <f t="shared" si="20"/>
        <v>0</v>
      </c>
      <c r="P56" s="88">
        <f t="shared" si="21"/>
        <v>10713.5</v>
      </c>
      <c r="Q56" s="88"/>
      <c r="R56" s="88"/>
      <c r="S56" s="88">
        <f t="shared" si="22"/>
        <v>0</v>
      </c>
      <c r="T56" s="88">
        <f t="shared" si="23"/>
        <v>0</v>
      </c>
      <c r="U56" s="94">
        <f t="shared" si="17"/>
        <v>0</v>
      </c>
      <c r="V56" s="88"/>
      <c r="W56" s="88">
        <f t="shared" si="30"/>
        <v>0</v>
      </c>
      <c r="X56" s="88"/>
      <c r="Y56" s="84"/>
      <c r="Z56" s="228">
        <v>747000</v>
      </c>
    </row>
    <row r="57" spans="1:26" s="87" customFormat="1" x14ac:dyDescent="0.25">
      <c r="A57" s="84">
        <f t="shared" si="27"/>
        <v>13</v>
      </c>
      <c r="B57" s="84">
        <v>1864</v>
      </c>
      <c r="C57" s="84" t="s">
        <v>393</v>
      </c>
      <c r="D57" s="88">
        <v>1500000</v>
      </c>
      <c r="E57" s="88">
        <v>1500000</v>
      </c>
      <c r="F57" s="88">
        <f t="shared" si="18"/>
        <v>0</v>
      </c>
      <c r="G57" s="88">
        <v>100000</v>
      </c>
      <c r="H57" s="88">
        <v>0</v>
      </c>
      <c r="I57" s="88">
        <v>57304.54</v>
      </c>
      <c r="J57" s="88"/>
      <c r="K57" s="88">
        <f t="shared" si="28"/>
        <v>57304.54</v>
      </c>
      <c r="L57" s="88">
        <f t="shared" si="19"/>
        <v>57304.54</v>
      </c>
      <c r="M57" s="88">
        <f t="shared" si="29"/>
        <v>42695.46</v>
      </c>
      <c r="N57" s="88"/>
      <c r="O57" s="88">
        <f t="shared" si="20"/>
        <v>1400000</v>
      </c>
      <c r="P57" s="88">
        <f t="shared" si="21"/>
        <v>42695.46</v>
      </c>
      <c r="Q57" s="88"/>
      <c r="R57" s="88"/>
      <c r="S57" s="88">
        <f t="shared" si="22"/>
        <v>0</v>
      </c>
      <c r="T57" s="88">
        <f t="shared" si="23"/>
        <v>0</v>
      </c>
      <c r="U57" s="94">
        <f t="shared" si="17"/>
        <v>0</v>
      </c>
      <c r="V57" s="88"/>
      <c r="W57" s="88">
        <f t="shared" si="30"/>
        <v>0</v>
      </c>
      <c r="X57" s="88"/>
      <c r="Y57" s="84"/>
      <c r="Z57" s="228">
        <v>747000</v>
      </c>
    </row>
    <row r="58" spans="1:26" s="87" customFormat="1" x14ac:dyDescent="0.25">
      <c r="A58" s="84">
        <f t="shared" si="27"/>
        <v>14</v>
      </c>
      <c r="B58" s="84">
        <v>1865</v>
      </c>
      <c r="C58" s="84" t="s">
        <v>394</v>
      </c>
      <c r="D58" s="88">
        <v>600000</v>
      </c>
      <c r="E58" s="88">
        <v>600000</v>
      </c>
      <c r="F58" s="88">
        <f t="shared" si="18"/>
        <v>0</v>
      </c>
      <c r="G58" s="88">
        <v>600000</v>
      </c>
      <c r="H58" s="88">
        <v>2918.8</v>
      </c>
      <c r="I58" s="88">
        <v>442455</v>
      </c>
      <c r="J58" s="88"/>
      <c r="K58" s="88">
        <f t="shared" si="28"/>
        <v>442455</v>
      </c>
      <c r="L58" s="88">
        <f t="shared" si="19"/>
        <v>445373.8</v>
      </c>
      <c r="M58" s="88">
        <f t="shared" si="29"/>
        <v>154626.20000000001</v>
      </c>
      <c r="N58" s="88"/>
      <c r="O58" s="88">
        <f t="shared" si="20"/>
        <v>0</v>
      </c>
      <c r="P58" s="88">
        <f t="shared" si="21"/>
        <v>154626.20000000001</v>
      </c>
      <c r="Q58" s="88"/>
      <c r="R58" s="88"/>
      <c r="S58" s="88">
        <f t="shared" si="22"/>
        <v>0</v>
      </c>
      <c r="T58" s="88">
        <f t="shared" si="23"/>
        <v>0</v>
      </c>
      <c r="U58" s="94">
        <f t="shared" si="17"/>
        <v>0</v>
      </c>
      <c r="V58" s="88"/>
      <c r="W58" s="88">
        <f t="shared" si="30"/>
        <v>0</v>
      </c>
      <c r="X58" s="88"/>
      <c r="Y58" s="84"/>
      <c r="Z58" s="228">
        <v>747000</v>
      </c>
    </row>
    <row r="59" spans="1:26" s="87" customFormat="1" x14ac:dyDescent="0.25">
      <c r="A59" s="84">
        <f t="shared" si="27"/>
        <v>15</v>
      </c>
      <c r="B59" s="84">
        <v>1876</v>
      </c>
      <c r="C59" s="84" t="s">
        <v>395</v>
      </c>
      <c r="D59" s="88">
        <v>30000</v>
      </c>
      <c r="E59" s="88">
        <v>30000</v>
      </c>
      <c r="F59" s="88">
        <f t="shared" si="18"/>
        <v>0</v>
      </c>
      <c r="G59" s="88">
        <v>30000</v>
      </c>
      <c r="H59" s="88">
        <v>29999.97</v>
      </c>
      <c r="I59" s="88"/>
      <c r="J59" s="88"/>
      <c r="K59" s="88">
        <f t="shared" si="28"/>
        <v>0</v>
      </c>
      <c r="L59" s="88">
        <f t="shared" si="19"/>
        <v>29999.97</v>
      </c>
      <c r="M59" s="88">
        <f t="shared" si="29"/>
        <v>2.9999999998835847E-2</v>
      </c>
      <c r="N59" s="88"/>
      <c r="O59" s="88">
        <f t="shared" si="20"/>
        <v>0</v>
      </c>
      <c r="P59" s="88">
        <f t="shared" si="21"/>
        <v>2.9999999998835847E-2</v>
      </c>
      <c r="Q59" s="88"/>
      <c r="R59" s="88"/>
      <c r="S59" s="88">
        <f t="shared" si="22"/>
        <v>0</v>
      </c>
      <c r="T59" s="88">
        <f t="shared" si="23"/>
        <v>0</v>
      </c>
      <c r="U59" s="94">
        <f t="shared" si="17"/>
        <v>0</v>
      </c>
      <c r="V59" s="88"/>
      <c r="W59" s="88">
        <f t="shared" si="30"/>
        <v>0</v>
      </c>
      <c r="X59" s="88"/>
      <c r="Y59" s="84"/>
      <c r="Z59" s="228">
        <v>747000</v>
      </c>
    </row>
    <row r="60" spans="1:26" s="87" customFormat="1" x14ac:dyDescent="0.25">
      <c r="A60" s="84">
        <f t="shared" si="27"/>
        <v>16</v>
      </c>
      <c r="B60" s="84">
        <v>1877</v>
      </c>
      <c r="C60" s="84" t="s">
        <v>396</v>
      </c>
      <c r="D60" s="88">
        <v>85000</v>
      </c>
      <c r="E60" s="88">
        <v>85000</v>
      </c>
      <c r="F60" s="88">
        <f t="shared" si="18"/>
        <v>0</v>
      </c>
      <c r="G60" s="88">
        <v>85000</v>
      </c>
      <c r="H60" s="88">
        <v>75703</v>
      </c>
      <c r="I60" s="88"/>
      <c r="J60" s="88"/>
      <c r="K60" s="88">
        <f t="shared" si="28"/>
        <v>0</v>
      </c>
      <c r="L60" s="88">
        <f t="shared" si="19"/>
        <v>75703</v>
      </c>
      <c r="M60" s="88">
        <f t="shared" si="29"/>
        <v>9297</v>
      </c>
      <c r="N60" s="88"/>
      <c r="O60" s="88">
        <f t="shared" si="20"/>
        <v>0</v>
      </c>
      <c r="P60" s="88">
        <f t="shared" si="21"/>
        <v>9297</v>
      </c>
      <c r="Q60" s="88"/>
      <c r="R60" s="88"/>
      <c r="S60" s="88">
        <f t="shared" si="22"/>
        <v>0</v>
      </c>
      <c r="T60" s="88">
        <f t="shared" si="23"/>
        <v>0</v>
      </c>
      <c r="U60" s="94">
        <f t="shared" si="17"/>
        <v>0</v>
      </c>
      <c r="V60" s="88"/>
      <c r="W60" s="88">
        <f t="shared" si="30"/>
        <v>0</v>
      </c>
      <c r="X60" s="88"/>
      <c r="Y60" s="84"/>
      <c r="Z60" s="228">
        <v>747000</v>
      </c>
    </row>
    <row r="61" spans="1:26" s="87" customFormat="1" x14ac:dyDescent="0.25">
      <c r="A61" s="84">
        <f t="shared" si="27"/>
        <v>17</v>
      </c>
      <c r="B61" s="84">
        <v>1878</v>
      </c>
      <c r="C61" s="84" t="s">
        <v>397</v>
      </c>
      <c r="D61" s="88">
        <v>20000</v>
      </c>
      <c r="E61" s="88">
        <v>20000</v>
      </c>
      <c r="F61" s="88">
        <f t="shared" si="18"/>
        <v>0</v>
      </c>
      <c r="G61" s="88">
        <v>20000</v>
      </c>
      <c r="H61" s="88">
        <v>19999.990000000002</v>
      </c>
      <c r="I61" s="88"/>
      <c r="J61" s="88"/>
      <c r="K61" s="88">
        <f t="shared" si="28"/>
        <v>0</v>
      </c>
      <c r="L61" s="88">
        <f t="shared" si="19"/>
        <v>19999.990000000002</v>
      </c>
      <c r="M61" s="88">
        <f t="shared" si="29"/>
        <v>9.9999999983992893E-3</v>
      </c>
      <c r="N61" s="88"/>
      <c r="O61" s="88">
        <f t="shared" si="20"/>
        <v>0</v>
      </c>
      <c r="P61" s="88">
        <f t="shared" si="21"/>
        <v>9.9999999983992893E-3</v>
      </c>
      <c r="Q61" s="88"/>
      <c r="R61" s="88"/>
      <c r="S61" s="88">
        <f t="shared" si="22"/>
        <v>0</v>
      </c>
      <c r="T61" s="88">
        <f t="shared" si="23"/>
        <v>0</v>
      </c>
      <c r="U61" s="94">
        <f t="shared" si="17"/>
        <v>0</v>
      </c>
      <c r="V61" s="88"/>
      <c r="W61" s="88">
        <f t="shared" si="30"/>
        <v>0</v>
      </c>
      <c r="X61" s="88"/>
      <c r="Y61" s="84"/>
      <c r="Z61" s="228">
        <v>747000</v>
      </c>
    </row>
    <row r="62" spans="1:26" s="87" customFormat="1" x14ac:dyDescent="0.25">
      <c r="A62" s="84">
        <f t="shared" si="27"/>
        <v>18</v>
      </c>
      <c r="B62" s="84">
        <v>1879</v>
      </c>
      <c r="C62" s="84" t="s">
        <v>398</v>
      </c>
      <c r="D62" s="88">
        <v>48000</v>
      </c>
      <c r="E62" s="88">
        <v>48000</v>
      </c>
      <c r="F62" s="88">
        <f t="shared" si="18"/>
        <v>0</v>
      </c>
      <c r="G62" s="88">
        <v>48000</v>
      </c>
      <c r="H62" s="88">
        <v>20576.37</v>
      </c>
      <c r="I62" s="88"/>
      <c r="J62" s="88"/>
      <c r="K62" s="88">
        <f t="shared" si="28"/>
        <v>0</v>
      </c>
      <c r="L62" s="88">
        <f t="shared" si="19"/>
        <v>20576.37</v>
      </c>
      <c r="M62" s="88">
        <f t="shared" ref="M62:M67" si="31">P62+S62</f>
        <v>27423.63</v>
      </c>
      <c r="N62" s="88"/>
      <c r="O62" s="88">
        <f t="shared" si="20"/>
        <v>0</v>
      </c>
      <c r="P62" s="88">
        <f t="shared" si="21"/>
        <v>27423.63</v>
      </c>
      <c r="Q62" s="88"/>
      <c r="R62" s="88"/>
      <c r="S62" s="88">
        <f t="shared" si="22"/>
        <v>0</v>
      </c>
      <c r="T62" s="88">
        <f t="shared" si="23"/>
        <v>0</v>
      </c>
      <c r="U62" s="94">
        <f t="shared" si="17"/>
        <v>0</v>
      </c>
      <c r="V62" s="88"/>
      <c r="W62" s="88">
        <f t="shared" ref="W62:W67" si="32">U62-V62-X62-Y62</f>
        <v>0</v>
      </c>
      <c r="X62" s="88"/>
      <c r="Y62" s="84"/>
      <c r="Z62" s="228">
        <v>747000</v>
      </c>
    </row>
    <row r="63" spans="1:26" s="87" customFormat="1" x14ac:dyDescent="0.25">
      <c r="A63" s="84">
        <f t="shared" si="27"/>
        <v>19</v>
      </c>
      <c r="B63" s="84">
        <v>1880</v>
      </c>
      <c r="C63" s="84" t="s">
        <v>399</v>
      </c>
      <c r="D63" s="88">
        <v>85000</v>
      </c>
      <c r="E63" s="88">
        <v>85000</v>
      </c>
      <c r="F63" s="88">
        <f t="shared" si="18"/>
        <v>0</v>
      </c>
      <c r="G63" s="88">
        <v>85000</v>
      </c>
      <c r="H63" s="88">
        <v>0</v>
      </c>
      <c r="I63" s="88">
        <v>85000</v>
      </c>
      <c r="J63" s="88"/>
      <c r="K63" s="88">
        <f t="shared" si="28"/>
        <v>85000</v>
      </c>
      <c r="L63" s="88">
        <f t="shared" si="19"/>
        <v>85000</v>
      </c>
      <c r="M63" s="88">
        <f t="shared" si="31"/>
        <v>0</v>
      </c>
      <c r="N63" s="88"/>
      <c r="O63" s="88">
        <f t="shared" si="20"/>
        <v>0</v>
      </c>
      <c r="P63" s="88">
        <f t="shared" si="21"/>
        <v>0</v>
      </c>
      <c r="Q63" s="88"/>
      <c r="R63" s="88"/>
      <c r="S63" s="88">
        <f t="shared" si="22"/>
        <v>0</v>
      </c>
      <c r="T63" s="88">
        <f t="shared" si="23"/>
        <v>0</v>
      </c>
      <c r="U63" s="94">
        <f t="shared" si="17"/>
        <v>0</v>
      </c>
      <c r="V63" s="88"/>
      <c r="W63" s="88">
        <f t="shared" si="32"/>
        <v>0</v>
      </c>
      <c r="X63" s="88"/>
      <c r="Y63" s="84"/>
      <c r="Z63" s="228">
        <v>747000</v>
      </c>
    </row>
    <row r="64" spans="1:26" s="87" customFormat="1" x14ac:dyDescent="0.25">
      <c r="A64" s="84">
        <f t="shared" si="27"/>
        <v>20</v>
      </c>
      <c r="B64" s="84">
        <v>1881</v>
      </c>
      <c r="C64" s="84" t="s">
        <v>390</v>
      </c>
      <c r="D64" s="88">
        <v>100000</v>
      </c>
      <c r="E64" s="88">
        <v>100000</v>
      </c>
      <c r="F64" s="88">
        <f t="shared" si="18"/>
        <v>0</v>
      </c>
      <c r="G64" s="88">
        <v>100000</v>
      </c>
      <c r="H64" s="88">
        <v>0</v>
      </c>
      <c r="I64" s="88"/>
      <c r="J64" s="88"/>
      <c r="K64" s="88">
        <f t="shared" si="28"/>
        <v>0</v>
      </c>
      <c r="L64" s="88">
        <f t="shared" si="19"/>
        <v>0</v>
      </c>
      <c r="M64" s="88">
        <f t="shared" si="31"/>
        <v>100000</v>
      </c>
      <c r="N64" s="88"/>
      <c r="O64" s="88">
        <f t="shared" si="20"/>
        <v>0</v>
      </c>
      <c r="P64" s="88">
        <f t="shared" si="21"/>
        <v>100000</v>
      </c>
      <c r="Q64" s="88"/>
      <c r="R64" s="88"/>
      <c r="S64" s="88">
        <f t="shared" si="22"/>
        <v>0</v>
      </c>
      <c r="T64" s="88">
        <f t="shared" si="23"/>
        <v>0</v>
      </c>
      <c r="U64" s="94">
        <f t="shared" si="17"/>
        <v>0</v>
      </c>
      <c r="V64" s="88"/>
      <c r="W64" s="88">
        <f t="shared" si="32"/>
        <v>0</v>
      </c>
      <c r="X64" s="88"/>
      <c r="Y64" s="84"/>
      <c r="Z64" s="228">
        <v>747000</v>
      </c>
    </row>
    <row r="65" spans="1:26" s="87" customFormat="1" x14ac:dyDescent="0.25">
      <c r="A65" s="84">
        <f t="shared" si="27"/>
        <v>21</v>
      </c>
      <c r="B65" s="84">
        <v>1923</v>
      </c>
      <c r="C65" s="84" t="s">
        <v>400</v>
      </c>
      <c r="D65" s="88">
        <v>350000</v>
      </c>
      <c r="E65" s="88">
        <v>350000</v>
      </c>
      <c r="F65" s="88">
        <f t="shared" si="18"/>
        <v>0</v>
      </c>
      <c r="G65" s="88">
        <v>350000</v>
      </c>
      <c r="H65" s="88">
        <v>74529</v>
      </c>
      <c r="I65" s="88">
        <v>229489.54</v>
      </c>
      <c r="J65" s="88"/>
      <c r="K65" s="88">
        <f t="shared" si="28"/>
        <v>229489.54</v>
      </c>
      <c r="L65" s="88">
        <f t="shared" si="19"/>
        <v>304018.54000000004</v>
      </c>
      <c r="M65" s="88">
        <f t="shared" si="31"/>
        <v>45981.459999999963</v>
      </c>
      <c r="N65" s="88"/>
      <c r="O65" s="88">
        <f t="shared" si="20"/>
        <v>0</v>
      </c>
      <c r="P65" s="88">
        <f t="shared" si="21"/>
        <v>45981.459999999963</v>
      </c>
      <c r="Q65" s="88"/>
      <c r="R65" s="88"/>
      <c r="S65" s="88">
        <f t="shared" si="22"/>
        <v>0</v>
      </c>
      <c r="T65" s="88">
        <f t="shared" si="23"/>
        <v>0</v>
      </c>
      <c r="U65" s="94">
        <f t="shared" si="17"/>
        <v>0</v>
      </c>
      <c r="V65" s="88"/>
      <c r="W65" s="88">
        <f t="shared" si="32"/>
        <v>0</v>
      </c>
      <c r="X65" s="88"/>
      <c r="Y65" s="84"/>
      <c r="Z65" s="228">
        <v>747000</v>
      </c>
    </row>
    <row r="66" spans="1:26" s="87" customFormat="1" x14ac:dyDescent="0.25">
      <c r="A66" s="84">
        <f t="shared" si="27"/>
        <v>22</v>
      </c>
      <c r="B66" s="84">
        <v>1928</v>
      </c>
      <c r="C66" s="84" t="s">
        <v>470</v>
      </c>
      <c r="D66" s="88">
        <v>100000</v>
      </c>
      <c r="E66" s="88">
        <v>100000</v>
      </c>
      <c r="F66" s="88">
        <f t="shared" si="18"/>
        <v>0</v>
      </c>
      <c r="G66" s="88">
        <v>100000</v>
      </c>
      <c r="H66" s="88">
        <v>0</v>
      </c>
      <c r="I66" s="88"/>
      <c r="J66" s="88"/>
      <c r="K66" s="88">
        <f t="shared" si="28"/>
        <v>0</v>
      </c>
      <c r="L66" s="88">
        <f t="shared" si="19"/>
        <v>0</v>
      </c>
      <c r="M66" s="88">
        <f t="shared" si="31"/>
        <v>100000</v>
      </c>
      <c r="N66" s="88"/>
      <c r="O66" s="88">
        <f t="shared" si="20"/>
        <v>0</v>
      </c>
      <c r="P66" s="88">
        <f t="shared" si="21"/>
        <v>100000</v>
      </c>
      <c r="Q66" s="88"/>
      <c r="R66" s="88"/>
      <c r="S66" s="88">
        <f t="shared" si="22"/>
        <v>0</v>
      </c>
      <c r="T66" s="88">
        <f t="shared" si="23"/>
        <v>0</v>
      </c>
      <c r="U66" s="94">
        <f t="shared" si="17"/>
        <v>0</v>
      </c>
      <c r="V66" s="88"/>
      <c r="W66" s="88">
        <f t="shared" si="32"/>
        <v>0</v>
      </c>
      <c r="X66" s="88"/>
      <c r="Y66" s="84"/>
      <c r="Z66" s="228">
        <v>747000</v>
      </c>
    </row>
    <row r="67" spans="1:26" s="87" customFormat="1" x14ac:dyDescent="0.25">
      <c r="A67" s="84"/>
      <c r="B67" s="84"/>
      <c r="C67" s="84"/>
      <c r="D67" s="88"/>
      <c r="E67" s="88"/>
      <c r="F67" s="88"/>
      <c r="G67" s="88"/>
      <c r="H67" s="88"/>
      <c r="I67" s="88"/>
      <c r="J67" s="88"/>
      <c r="K67" s="88">
        <f t="shared" si="28"/>
        <v>0</v>
      </c>
      <c r="L67" s="88">
        <f t="shared" si="19"/>
        <v>0</v>
      </c>
      <c r="M67" s="88">
        <f t="shared" si="31"/>
        <v>0</v>
      </c>
      <c r="N67" s="88"/>
      <c r="O67" s="88">
        <f t="shared" si="20"/>
        <v>0</v>
      </c>
      <c r="P67" s="88">
        <f t="shared" si="21"/>
        <v>0</v>
      </c>
      <c r="Q67" s="88"/>
      <c r="R67" s="88"/>
      <c r="S67" s="88">
        <f t="shared" si="22"/>
        <v>0</v>
      </c>
      <c r="T67" s="88">
        <f t="shared" si="23"/>
        <v>0</v>
      </c>
      <c r="U67" s="94">
        <f t="shared" si="17"/>
        <v>0</v>
      </c>
      <c r="V67" s="88"/>
      <c r="W67" s="88">
        <f t="shared" si="32"/>
        <v>0</v>
      </c>
      <c r="X67" s="88"/>
      <c r="Y67" s="84"/>
      <c r="Z67" s="228"/>
    </row>
    <row r="68" spans="1:26" s="120" customFormat="1" ht="15.6" x14ac:dyDescent="0.25">
      <c r="A68" s="28">
        <f>A66</f>
        <v>22</v>
      </c>
      <c r="B68" s="28" t="s">
        <v>102</v>
      </c>
      <c r="C68" s="28" t="s">
        <v>155</v>
      </c>
      <c r="D68" s="101">
        <f t="shared" ref="D68:Y68" si="33">SUM(D45:D67)</f>
        <v>11175529</v>
      </c>
      <c r="E68" s="101">
        <f t="shared" si="33"/>
        <v>11875529</v>
      </c>
      <c r="F68" s="101">
        <f t="shared" si="33"/>
        <v>-700000</v>
      </c>
      <c r="G68" s="101">
        <f t="shared" si="33"/>
        <v>7495529</v>
      </c>
      <c r="H68" s="101">
        <f t="shared" si="33"/>
        <v>5216430.3999999994</v>
      </c>
      <c r="I68" s="101">
        <f t="shared" si="33"/>
        <v>1587767.57</v>
      </c>
      <c r="J68" s="101">
        <f t="shared" si="33"/>
        <v>0.2</v>
      </c>
      <c r="K68" s="101">
        <f t="shared" si="33"/>
        <v>1587767.77</v>
      </c>
      <c r="L68" s="101">
        <f t="shared" si="33"/>
        <v>6804198.169999999</v>
      </c>
      <c r="M68" s="101">
        <f t="shared" si="33"/>
        <v>691330.83000000007</v>
      </c>
      <c r="N68" s="101">
        <f t="shared" si="33"/>
        <v>1650000</v>
      </c>
      <c r="O68" s="101">
        <f t="shared" si="33"/>
        <v>2030000</v>
      </c>
      <c r="P68" s="101">
        <f t="shared" si="33"/>
        <v>691330.83000000007</v>
      </c>
      <c r="Q68" s="101">
        <f t="shared" si="33"/>
        <v>0</v>
      </c>
      <c r="R68" s="101">
        <f t="shared" si="33"/>
        <v>0</v>
      </c>
      <c r="S68" s="101">
        <f t="shared" si="33"/>
        <v>0</v>
      </c>
      <c r="T68" s="101">
        <f t="shared" si="33"/>
        <v>0</v>
      </c>
      <c r="U68" s="210">
        <f t="shared" si="33"/>
        <v>1650000</v>
      </c>
      <c r="V68" s="101">
        <f t="shared" si="33"/>
        <v>0</v>
      </c>
      <c r="W68" s="101">
        <f t="shared" si="33"/>
        <v>1650000</v>
      </c>
      <c r="X68" s="101">
        <f t="shared" si="33"/>
        <v>0</v>
      </c>
      <c r="Y68" s="101">
        <f t="shared" si="33"/>
        <v>0</v>
      </c>
      <c r="Z68" s="244"/>
    </row>
    <row r="69" spans="1:26" s="87" customFormat="1" x14ac:dyDescent="0.25">
      <c r="A69" s="84"/>
      <c r="B69" s="84"/>
      <c r="C69" s="84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>
        <f>D69-L69-M69-N69</f>
        <v>0</v>
      </c>
      <c r="P69" s="88"/>
      <c r="Q69" s="88"/>
      <c r="R69" s="88"/>
      <c r="S69" s="88"/>
      <c r="T69" s="88"/>
      <c r="U69" s="94">
        <f t="shared" si="17"/>
        <v>0</v>
      </c>
      <c r="V69" s="88"/>
      <c r="W69" s="88"/>
      <c r="X69" s="88"/>
      <c r="Y69" s="84"/>
      <c r="Z69" s="228"/>
    </row>
    <row r="70" spans="1:26" s="87" customFormat="1" ht="15.6" x14ac:dyDescent="0.25">
      <c r="A70" s="84"/>
      <c r="B70" s="84"/>
      <c r="C70" s="28" t="s">
        <v>227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>
        <f>D70-L70-M70-N70</f>
        <v>0</v>
      </c>
      <c r="P70" s="88"/>
      <c r="Q70" s="88"/>
      <c r="R70" s="88"/>
      <c r="S70" s="88"/>
      <c r="T70" s="88">
        <f>P70-M70+R70</f>
        <v>0</v>
      </c>
      <c r="U70" s="94">
        <f t="shared" si="17"/>
        <v>0</v>
      </c>
      <c r="V70" s="88"/>
      <c r="W70" s="88"/>
      <c r="X70" s="88"/>
      <c r="Y70" s="84"/>
      <c r="Z70" s="228"/>
    </row>
    <row r="71" spans="1:26" s="87" customFormat="1" x14ac:dyDescent="0.25">
      <c r="A71" s="84">
        <v>1</v>
      </c>
      <c r="B71" s="84">
        <v>135</v>
      </c>
      <c r="C71" s="84" t="s">
        <v>162</v>
      </c>
      <c r="D71" s="88">
        <f>5082000-500000</f>
        <v>4582000</v>
      </c>
      <c r="E71" s="88">
        <v>4582000</v>
      </c>
      <c r="F71" s="88">
        <f>D71-E71</f>
        <v>0</v>
      </c>
      <c r="G71" s="88">
        <v>4582000</v>
      </c>
      <c r="H71" s="88">
        <v>1051854.73</v>
      </c>
      <c r="I71" s="88">
        <v>80671.5</v>
      </c>
      <c r="J71" s="88"/>
      <c r="K71" s="88">
        <f>SUM(I71:J71)</f>
        <v>80671.5</v>
      </c>
      <c r="L71" s="88">
        <f t="shared" ref="L71:L82" si="34">H71+K71</f>
        <v>1132526.23</v>
      </c>
      <c r="M71" s="88">
        <f>P71+S71-3349000</f>
        <v>100473.77000000002</v>
      </c>
      <c r="N71" s="88"/>
      <c r="O71" s="88">
        <f t="shared" ref="O71:O82" si="35">D71-L71-M71-N71</f>
        <v>3349000</v>
      </c>
      <c r="P71" s="88">
        <f t="shared" ref="P71:P82" si="36">G71-L71</f>
        <v>3449473.77</v>
      </c>
      <c r="Q71" s="88"/>
      <c r="R71" s="88"/>
      <c r="S71" s="88">
        <f t="shared" ref="S71:S82" si="37">SUM(Q71:R71)</f>
        <v>0</v>
      </c>
      <c r="T71" s="88">
        <f t="shared" ref="T71:T82" si="38">P71-M71+S71</f>
        <v>3349000</v>
      </c>
      <c r="U71" s="94">
        <f t="shared" si="17"/>
        <v>-3349000</v>
      </c>
      <c r="V71" s="88">
        <v>-3349000</v>
      </c>
      <c r="W71" s="88">
        <f t="shared" ref="W71:W82" si="39">U71-V71-X71-Y71</f>
        <v>0</v>
      </c>
      <c r="X71" s="88"/>
      <c r="Y71" s="84"/>
      <c r="Z71" s="228">
        <v>747000</v>
      </c>
    </row>
    <row r="72" spans="1:26" s="87" customFormat="1" x14ac:dyDescent="0.25">
      <c r="A72" s="84">
        <f>A71+1</f>
        <v>2</v>
      </c>
      <c r="B72" s="84">
        <v>1134</v>
      </c>
      <c r="C72" s="84" t="s">
        <v>163</v>
      </c>
      <c r="D72" s="88">
        <f>2735000-200000</f>
        <v>2535000</v>
      </c>
      <c r="E72" s="88">
        <v>2535000</v>
      </c>
      <c r="F72" s="88">
        <f t="shared" ref="F72:F82" si="40">D72-E72</f>
        <v>0</v>
      </c>
      <c r="G72" s="88">
        <v>2295000</v>
      </c>
      <c r="H72" s="88">
        <v>2180073.67</v>
      </c>
      <c r="I72" s="88">
        <v>62960.160000000003</v>
      </c>
      <c r="J72" s="88"/>
      <c r="K72" s="88">
        <f t="shared" ref="K72:K82" si="41">SUM(I72:J72)</f>
        <v>62960.160000000003</v>
      </c>
      <c r="L72" s="88">
        <f t="shared" si="34"/>
        <v>2243033.83</v>
      </c>
      <c r="M72" s="88">
        <f t="shared" ref="M72:M82" si="42">P72+S72</f>
        <v>51966.169999999925</v>
      </c>
      <c r="N72" s="88">
        <v>200000</v>
      </c>
      <c r="O72" s="88">
        <f t="shared" si="35"/>
        <v>40000</v>
      </c>
      <c r="P72" s="88">
        <f t="shared" si="36"/>
        <v>51966.169999999925</v>
      </c>
      <c r="Q72" s="88"/>
      <c r="R72" s="88"/>
      <c r="S72" s="88">
        <f t="shared" si="37"/>
        <v>0</v>
      </c>
      <c r="T72" s="88">
        <f t="shared" si="38"/>
        <v>0</v>
      </c>
      <c r="U72" s="94">
        <f t="shared" si="17"/>
        <v>200000</v>
      </c>
      <c r="V72" s="88">
        <v>200000</v>
      </c>
      <c r="W72" s="88">
        <f t="shared" si="39"/>
        <v>0</v>
      </c>
      <c r="X72" s="88"/>
      <c r="Y72" s="84"/>
      <c r="Z72" s="228">
        <v>746000</v>
      </c>
    </row>
    <row r="73" spans="1:26" s="120" customFormat="1" ht="15.6" x14ac:dyDescent="0.25">
      <c r="A73" s="28"/>
      <c r="B73" s="28"/>
      <c r="C73" s="28">
        <v>74</v>
      </c>
      <c r="D73" s="101">
        <f>SUM(D71:D72)</f>
        <v>7117000</v>
      </c>
      <c r="E73" s="101">
        <f t="shared" ref="E73:Y73" si="43">SUM(E71:E72)</f>
        <v>7117000</v>
      </c>
      <c r="F73" s="101">
        <f t="shared" si="43"/>
        <v>0</v>
      </c>
      <c r="G73" s="101">
        <f t="shared" si="43"/>
        <v>6877000</v>
      </c>
      <c r="H73" s="101">
        <f t="shared" si="43"/>
        <v>3231928.4</v>
      </c>
      <c r="I73" s="101">
        <f t="shared" si="43"/>
        <v>143631.66</v>
      </c>
      <c r="J73" s="101">
        <f t="shared" si="43"/>
        <v>0</v>
      </c>
      <c r="K73" s="101">
        <f t="shared" si="43"/>
        <v>143631.66</v>
      </c>
      <c r="L73" s="101">
        <f t="shared" si="43"/>
        <v>3375560.06</v>
      </c>
      <c r="M73" s="101">
        <f t="shared" si="43"/>
        <v>152439.93999999994</v>
      </c>
      <c r="N73" s="101">
        <f t="shared" si="43"/>
        <v>200000</v>
      </c>
      <c r="O73" s="101">
        <f t="shared" si="43"/>
        <v>3389000</v>
      </c>
      <c r="P73" s="101">
        <f t="shared" si="43"/>
        <v>3501439.94</v>
      </c>
      <c r="Q73" s="101">
        <f t="shared" si="43"/>
        <v>0</v>
      </c>
      <c r="R73" s="101">
        <f t="shared" si="43"/>
        <v>0</v>
      </c>
      <c r="S73" s="101">
        <f t="shared" si="43"/>
        <v>0</v>
      </c>
      <c r="T73" s="101">
        <f t="shared" si="43"/>
        <v>3349000</v>
      </c>
      <c r="U73" s="101">
        <f t="shared" si="43"/>
        <v>-3149000</v>
      </c>
      <c r="V73" s="101">
        <f t="shared" si="43"/>
        <v>-3149000</v>
      </c>
      <c r="W73" s="101">
        <f t="shared" si="43"/>
        <v>0</v>
      </c>
      <c r="X73" s="101">
        <f t="shared" si="43"/>
        <v>0</v>
      </c>
      <c r="Y73" s="101">
        <f t="shared" si="43"/>
        <v>0</v>
      </c>
      <c r="Z73" s="244"/>
    </row>
    <row r="74" spans="1:26" s="87" customFormat="1" x14ac:dyDescent="0.25">
      <c r="A74" s="84"/>
      <c r="B74" s="84"/>
      <c r="C74" s="84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94"/>
      <c r="V74" s="88"/>
      <c r="W74" s="88"/>
      <c r="X74" s="88"/>
      <c r="Y74" s="84"/>
      <c r="Z74" s="228"/>
    </row>
    <row r="75" spans="1:26" s="87" customFormat="1" x14ac:dyDescent="0.25">
      <c r="A75" s="84"/>
      <c r="B75" s="84"/>
      <c r="C75" s="84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94"/>
      <c r="V75" s="88"/>
      <c r="W75" s="88"/>
      <c r="X75" s="88"/>
      <c r="Y75" s="84"/>
      <c r="Z75" s="228"/>
    </row>
    <row r="76" spans="1:26" s="87" customFormat="1" x14ac:dyDescent="0.25">
      <c r="A76" s="84">
        <f>A72+1</f>
        <v>3</v>
      </c>
      <c r="B76" s="84">
        <v>1345</v>
      </c>
      <c r="C76" s="84" t="s">
        <v>164</v>
      </c>
      <c r="D76" s="88">
        <v>1739000</v>
      </c>
      <c r="E76" s="88">
        <v>1739000</v>
      </c>
      <c r="F76" s="88">
        <f t="shared" si="40"/>
        <v>0</v>
      </c>
      <c r="G76" s="88">
        <v>740000</v>
      </c>
      <c r="H76" s="88">
        <v>636032.25</v>
      </c>
      <c r="I76" s="88">
        <v>60689.83</v>
      </c>
      <c r="J76" s="88"/>
      <c r="K76" s="88">
        <f t="shared" si="41"/>
        <v>60689.83</v>
      </c>
      <c r="L76" s="88">
        <f t="shared" si="34"/>
        <v>696722.08</v>
      </c>
      <c r="M76" s="88">
        <f t="shared" si="42"/>
        <v>68277.920000000042</v>
      </c>
      <c r="N76" s="88"/>
      <c r="O76" s="88">
        <f t="shared" si="35"/>
        <v>974000</v>
      </c>
      <c r="P76" s="88">
        <f t="shared" si="36"/>
        <v>43277.920000000042</v>
      </c>
      <c r="Q76" s="149">
        <v>25000</v>
      </c>
      <c r="R76" s="88"/>
      <c r="S76" s="88">
        <f t="shared" si="37"/>
        <v>25000</v>
      </c>
      <c r="T76" s="88">
        <f t="shared" si="38"/>
        <v>0</v>
      </c>
      <c r="U76" s="94">
        <f t="shared" si="17"/>
        <v>0</v>
      </c>
      <c r="V76" s="88"/>
      <c r="W76" s="88">
        <f t="shared" si="39"/>
        <v>0</v>
      </c>
      <c r="X76" s="88"/>
      <c r="Y76" s="84"/>
      <c r="Z76" s="228">
        <v>870000</v>
      </c>
    </row>
    <row r="77" spans="1:26" s="87" customFormat="1" x14ac:dyDescent="0.25">
      <c r="A77" s="84">
        <f t="shared" ref="A77:A83" si="44">A76+1</f>
        <v>4</v>
      </c>
      <c r="B77" s="84">
        <v>1566</v>
      </c>
      <c r="C77" s="84" t="s">
        <v>165</v>
      </c>
      <c r="D77" s="88">
        <f>1200000-500000</f>
        <v>700000</v>
      </c>
      <c r="E77" s="88">
        <v>1200000</v>
      </c>
      <c r="F77" s="88">
        <f t="shared" si="40"/>
        <v>-500000</v>
      </c>
      <c r="G77" s="88">
        <v>700000</v>
      </c>
      <c r="H77" s="88">
        <v>663998.76</v>
      </c>
      <c r="I77" s="88">
        <v>34266.300000000003</v>
      </c>
      <c r="J77" s="88"/>
      <c r="K77" s="88">
        <f t="shared" si="41"/>
        <v>34266.300000000003</v>
      </c>
      <c r="L77" s="88">
        <f t="shared" si="34"/>
        <v>698265.06</v>
      </c>
      <c r="M77" s="88">
        <f t="shared" si="42"/>
        <v>1734.9399999999441</v>
      </c>
      <c r="N77" s="88"/>
      <c r="O77" s="88">
        <f t="shared" si="35"/>
        <v>0</v>
      </c>
      <c r="P77" s="88">
        <f t="shared" si="36"/>
        <v>1734.9399999999441</v>
      </c>
      <c r="Q77" s="88"/>
      <c r="R77" s="88"/>
      <c r="S77" s="88">
        <f t="shared" si="37"/>
        <v>0</v>
      </c>
      <c r="T77" s="88">
        <f t="shared" si="38"/>
        <v>0</v>
      </c>
      <c r="U77" s="94">
        <f t="shared" si="17"/>
        <v>0</v>
      </c>
      <c r="V77" s="88"/>
      <c r="W77" s="88">
        <f t="shared" si="39"/>
        <v>0</v>
      </c>
      <c r="X77" s="88"/>
      <c r="Y77" s="84"/>
      <c r="Z77" s="228">
        <v>870000</v>
      </c>
    </row>
    <row r="78" spans="1:26" s="87" customFormat="1" x14ac:dyDescent="0.25">
      <c r="A78" s="84">
        <f t="shared" si="44"/>
        <v>5</v>
      </c>
      <c r="B78" s="84">
        <v>1579</v>
      </c>
      <c r="C78" s="84" t="s">
        <v>166</v>
      </c>
      <c r="D78" s="88">
        <f>280000-110000</f>
        <v>170000</v>
      </c>
      <c r="E78" s="88">
        <v>280000</v>
      </c>
      <c r="F78" s="88">
        <f t="shared" si="40"/>
        <v>-110000</v>
      </c>
      <c r="G78" s="88">
        <v>170000</v>
      </c>
      <c r="H78" s="88">
        <v>135082.65</v>
      </c>
      <c r="I78" s="88">
        <v>11559.6</v>
      </c>
      <c r="J78" s="88"/>
      <c r="K78" s="88">
        <f t="shared" si="41"/>
        <v>11559.6</v>
      </c>
      <c r="L78" s="88">
        <f t="shared" si="34"/>
        <v>146642.25</v>
      </c>
      <c r="M78" s="88">
        <f t="shared" si="42"/>
        <v>23357.75</v>
      </c>
      <c r="N78" s="88"/>
      <c r="O78" s="88">
        <f t="shared" si="35"/>
        <v>0</v>
      </c>
      <c r="P78" s="88">
        <f t="shared" si="36"/>
        <v>23357.75</v>
      </c>
      <c r="Q78" s="88"/>
      <c r="R78" s="88"/>
      <c r="S78" s="88">
        <f t="shared" si="37"/>
        <v>0</v>
      </c>
      <c r="T78" s="88">
        <f t="shared" si="38"/>
        <v>0</v>
      </c>
      <c r="U78" s="94">
        <f t="shared" si="17"/>
        <v>0</v>
      </c>
      <c r="V78" s="88"/>
      <c r="W78" s="88">
        <f t="shared" si="39"/>
        <v>0</v>
      </c>
      <c r="X78" s="88"/>
      <c r="Y78" s="84"/>
      <c r="Z78" s="228">
        <v>870000</v>
      </c>
    </row>
    <row r="79" spans="1:26" s="87" customFormat="1" x14ac:dyDescent="0.25">
      <c r="A79" s="84">
        <f t="shared" si="44"/>
        <v>6</v>
      </c>
      <c r="B79" s="84">
        <v>1598</v>
      </c>
      <c r="C79" s="84" t="s">
        <v>167</v>
      </c>
      <c r="D79" s="88">
        <f>372000-87500</f>
        <v>284500</v>
      </c>
      <c r="E79" s="88">
        <v>284500</v>
      </c>
      <c r="F79" s="88">
        <f t="shared" si="40"/>
        <v>0</v>
      </c>
      <c r="G79" s="88">
        <v>284500</v>
      </c>
      <c r="H79" s="88">
        <v>95476.64</v>
      </c>
      <c r="I79" s="88">
        <v>64931.5</v>
      </c>
      <c r="J79" s="88"/>
      <c r="K79" s="88">
        <f t="shared" si="41"/>
        <v>64931.5</v>
      </c>
      <c r="L79" s="88">
        <f t="shared" si="34"/>
        <v>160408.14000000001</v>
      </c>
      <c r="M79" s="88">
        <f t="shared" si="42"/>
        <v>124091.85999999999</v>
      </c>
      <c r="N79" s="88"/>
      <c r="O79" s="88">
        <f t="shared" si="35"/>
        <v>0</v>
      </c>
      <c r="P79" s="88">
        <f t="shared" si="36"/>
        <v>124091.85999999999</v>
      </c>
      <c r="Q79" s="88"/>
      <c r="R79" s="88"/>
      <c r="S79" s="88">
        <f t="shared" si="37"/>
        <v>0</v>
      </c>
      <c r="T79" s="88">
        <f t="shared" si="38"/>
        <v>0</v>
      </c>
      <c r="U79" s="94">
        <f t="shared" si="17"/>
        <v>0</v>
      </c>
      <c r="V79" s="88"/>
      <c r="W79" s="88">
        <f t="shared" si="39"/>
        <v>0</v>
      </c>
      <c r="X79" s="88"/>
      <c r="Y79" s="84"/>
      <c r="Z79" s="228">
        <v>870000</v>
      </c>
    </row>
    <row r="80" spans="1:26" s="87" customFormat="1" x14ac:dyDescent="0.25">
      <c r="A80" s="84">
        <f t="shared" si="44"/>
        <v>7</v>
      </c>
      <c r="B80" s="84">
        <v>1685</v>
      </c>
      <c r="C80" s="84" t="s">
        <v>168</v>
      </c>
      <c r="D80" s="88">
        <v>180000</v>
      </c>
      <c r="E80" s="88">
        <v>180000</v>
      </c>
      <c r="F80" s="88">
        <f t="shared" si="40"/>
        <v>0</v>
      </c>
      <c r="G80" s="88">
        <v>180000</v>
      </c>
      <c r="H80" s="88">
        <v>87165</v>
      </c>
      <c r="I80" s="88"/>
      <c r="J80" s="88"/>
      <c r="K80" s="88">
        <f t="shared" si="41"/>
        <v>0</v>
      </c>
      <c r="L80" s="88">
        <f t="shared" si="34"/>
        <v>87165</v>
      </c>
      <c r="M80" s="88">
        <f t="shared" si="42"/>
        <v>92835</v>
      </c>
      <c r="N80" s="88"/>
      <c r="O80" s="88">
        <f t="shared" si="35"/>
        <v>0</v>
      </c>
      <c r="P80" s="88">
        <f t="shared" si="36"/>
        <v>92835</v>
      </c>
      <c r="Q80" s="88"/>
      <c r="R80" s="88"/>
      <c r="S80" s="88">
        <f t="shared" si="37"/>
        <v>0</v>
      </c>
      <c r="T80" s="88">
        <f t="shared" si="38"/>
        <v>0</v>
      </c>
      <c r="U80" s="94">
        <f t="shared" si="17"/>
        <v>0</v>
      </c>
      <c r="V80" s="88"/>
      <c r="W80" s="88">
        <f t="shared" si="39"/>
        <v>0</v>
      </c>
      <c r="X80" s="88"/>
      <c r="Y80" s="84"/>
      <c r="Z80" s="228">
        <v>870000</v>
      </c>
    </row>
    <row r="81" spans="1:26" s="87" customFormat="1" x14ac:dyDescent="0.25">
      <c r="A81" s="84">
        <f t="shared" si="44"/>
        <v>8</v>
      </c>
      <c r="B81" s="84">
        <v>1831</v>
      </c>
      <c r="C81" s="84" t="s">
        <v>384</v>
      </c>
      <c r="D81" s="88">
        <v>146059</v>
      </c>
      <c r="E81" s="88">
        <v>146059</v>
      </c>
      <c r="F81" s="88">
        <f>D81-E81</f>
        <v>0</v>
      </c>
      <c r="G81" s="88">
        <v>50000</v>
      </c>
      <c r="H81" s="88">
        <v>38025</v>
      </c>
      <c r="I81" s="88"/>
      <c r="J81" s="88"/>
      <c r="K81" s="88">
        <f>SUM(I81:J81)</f>
        <v>0</v>
      </c>
      <c r="L81" s="88">
        <f>H81+K81</f>
        <v>38025</v>
      </c>
      <c r="M81" s="88">
        <f>P81+S81</f>
        <v>11975</v>
      </c>
      <c r="N81" s="88">
        <v>96059</v>
      </c>
      <c r="O81" s="88">
        <f>D81-L81-M81-N81</f>
        <v>0</v>
      </c>
      <c r="P81" s="88">
        <f>G81-L81</f>
        <v>11975</v>
      </c>
      <c r="Q81" s="88"/>
      <c r="R81" s="88"/>
      <c r="S81" s="88">
        <f>SUM(Q81:R81)</f>
        <v>0</v>
      </c>
      <c r="T81" s="88">
        <f>P81-M81+S81</f>
        <v>0</v>
      </c>
      <c r="U81" s="94">
        <f>N81-T81</f>
        <v>96059</v>
      </c>
      <c r="V81" s="88"/>
      <c r="W81" s="88">
        <f>U81-V81-X81-Y81</f>
        <v>0</v>
      </c>
      <c r="X81" s="88"/>
      <c r="Y81" s="88">
        <v>96059</v>
      </c>
      <c r="Z81" s="228">
        <v>870000</v>
      </c>
    </row>
    <row r="82" spans="1:26" s="87" customFormat="1" x14ac:dyDescent="0.25">
      <c r="A82" s="84">
        <f t="shared" si="44"/>
        <v>9</v>
      </c>
      <c r="B82" s="84">
        <v>1866</v>
      </c>
      <c r="C82" s="84" t="s">
        <v>401</v>
      </c>
      <c r="D82" s="88">
        <v>300000</v>
      </c>
      <c r="E82" s="88">
        <v>300000</v>
      </c>
      <c r="F82" s="88">
        <f t="shared" si="40"/>
        <v>0</v>
      </c>
      <c r="G82" s="88">
        <v>50000</v>
      </c>
      <c r="H82" s="88">
        <v>0</v>
      </c>
      <c r="I82" s="88">
        <v>30029.81</v>
      </c>
      <c r="J82" s="88"/>
      <c r="K82" s="88">
        <f t="shared" si="41"/>
        <v>30029.81</v>
      </c>
      <c r="L82" s="88">
        <f t="shared" si="34"/>
        <v>30029.81</v>
      </c>
      <c r="M82" s="88">
        <f t="shared" si="42"/>
        <v>19970.189999999999</v>
      </c>
      <c r="N82" s="88">
        <v>100000</v>
      </c>
      <c r="O82" s="88">
        <f t="shared" si="35"/>
        <v>150000</v>
      </c>
      <c r="P82" s="88">
        <f t="shared" si="36"/>
        <v>19970.189999999999</v>
      </c>
      <c r="Q82" s="88"/>
      <c r="R82" s="88"/>
      <c r="S82" s="88">
        <f t="shared" si="37"/>
        <v>0</v>
      </c>
      <c r="T82" s="88">
        <f t="shared" si="38"/>
        <v>0</v>
      </c>
      <c r="U82" s="94">
        <f t="shared" si="17"/>
        <v>100000</v>
      </c>
      <c r="V82" s="88"/>
      <c r="W82" s="88">
        <f t="shared" si="39"/>
        <v>100000</v>
      </c>
      <c r="X82" s="88"/>
      <c r="Y82" s="84"/>
      <c r="Z82" s="228">
        <v>870000</v>
      </c>
    </row>
    <row r="83" spans="1:26" s="87" customFormat="1" x14ac:dyDescent="0.25">
      <c r="A83" s="84">
        <f t="shared" si="44"/>
        <v>10</v>
      </c>
      <c r="B83" s="84">
        <v>1922</v>
      </c>
      <c r="C83" s="84" t="s">
        <v>387</v>
      </c>
      <c r="D83" s="88">
        <v>330000</v>
      </c>
      <c r="E83" s="88">
        <v>330000</v>
      </c>
      <c r="F83" s="88">
        <f>D83-E83</f>
        <v>0</v>
      </c>
      <c r="G83" s="88">
        <v>0</v>
      </c>
      <c r="H83" s="88">
        <v>0</v>
      </c>
      <c r="I83" s="88"/>
      <c r="J83" s="88"/>
      <c r="K83" s="88">
        <f>SUM(I83:J83)</f>
        <v>0</v>
      </c>
      <c r="L83" s="88">
        <f>H83+K83</f>
        <v>0</v>
      </c>
      <c r="M83" s="88">
        <f>P83+S83</f>
        <v>0</v>
      </c>
      <c r="N83" s="88">
        <v>100000</v>
      </c>
      <c r="O83" s="88">
        <f>D83-L83-M83-N83</f>
        <v>230000</v>
      </c>
      <c r="P83" s="88">
        <f>G83-L83</f>
        <v>0</v>
      </c>
      <c r="Q83" s="88"/>
      <c r="R83" s="88"/>
      <c r="S83" s="88">
        <f>SUM(Q83:R83)</f>
        <v>0</v>
      </c>
      <c r="T83" s="88">
        <f>P83-M83+S83</f>
        <v>0</v>
      </c>
      <c r="U83" s="94">
        <f>N83-T83</f>
        <v>100000</v>
      </c>
      <c r="V83" s="88"/>
      <c r="W83" s="88">
        <f>U83-V83-X83-Y83</f>
        <v>100000</v>
      </c>
      <c r="X83" s="88"/>
      <c r="Y83" s="84"/>
      <c r="Z83" s="228">
        <v>870000</v>
      </c>
    </row>
    <row r="84" spans="1:26" s="120" customFormat="1" ht="15.6" x14ac:dyDescent="0.25">
      <c r="A84" s="28"/>
      <c r="B84" s="28"/>
      <c r="C84" s="28">
        <v>87</v>
      </c>
      <c r="D84" s="101">
        <f>SUM(D76:D83)</f>
        <v>3849559</v>
      </c>
      <c r="E84" s="101">
        <f t="shared" ref="E84:Y84" si="45">SUM(E76:E83)</f>
        <v>4459559</v>
      </c>
      <c r="F84" s="101">
        <f t="shared" si="45"/>
        <v>-610000</v>
      </c>
      <c r="G84" s="101">
        <f t="shared" si="45"/>
        <v>2174500</v>
      </c>
      <c r="H84" s="101">
        <f t="shared" si="45"/>
        <v>1655780.2999999998</v>
      </c>
      <c r="I84" s="101">
        <f t="shared" si="45"/>
        <v>201477.04</v>
      </c>
      <c r="J84" s="101">
        <f t="shared" si="45"/>
        <v>0</v>
      </c>
      <c r="K84" s="101">
        <f t="shared" si="45"/>
        <v>201477.04</v>
      </c>
      <c r="L84" s="101">
        <f t="shared" si="45"/>
        <v>1857257.3400000003</v>
      </c>
      <c r="M84" s="101">
        <f t="shared" si="45"/>
        <v>342242.66</v>
      </c>
      <c r="N84" s="101">
        <f t="shared" si="45"/>
        <v>296059</v>
      </c>
      <c r="O84" s="101">
        <f t="shared" si="45"/>
        <v>1354000</v>
      </c>
      <c r="P84" s="101">
        <f t="shared" si="45"/>
        <v>317242.65999999997</v>
      </c>
      <c r="Q84" s="101">
        <f t="shared" si="45"/>
        <v>25000</v>
      </c>
      <c r="R84" s="101">
        <f t="shared" si="45"/>
        <v>0</v>
      </c>
      <c r="S84" s="101">
        <f t="shared" si="45"/>
        <v>25000</v>
      </c>
      <c r="T84" s="101">
        <f t="shared" si="45"/>
        <v>0</v>
      </c>
      <c r="U84" s="101">
        <f t="shared" si="45"/>
        <v>296059</v>
      </c>
      <c r="V84" s="101">
        <f t="shared" si="45"/>
        <v>0</v>
      </c>
      <c r="W84" s="101">
        <f t="shared" si="45"/>
        <v>200000</v>
      </c>
      <c r="X84" s="101">
        <f t="shared" si="45"/>
        <v>0</v>
      </c>
      <c r="Y84" s="101">
        <f t="shared" si="45"/>
        <v>96059</v>
      </c>
      <c r="Z84" s="244"/>
    </row>
    <row r="85" spans="1:26" s="87" customFormat="1" x14ac:dyDescent="0.25">
      <c r="A85" s="84"/>
      <c r="B85" s="84"/>
      <c r="C85" s="84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94"/>
      <c r="V85" s="88"/>
      <c r="W85" s="88"/>
      <c r="X85" s="88"/>
      <c r="Y85" s="84"/>
      <c r="Z85" s="228"/>
    </row>
    <row r="86" spans="1:26" s="120" customFormat="1" ht="15.6" x14ac:dyDescent="0.25">
      <c r="A86" s="28">
        <f>A83</f>
        <v>10</v>
      </c>
      <c r="B86" s="28" t="s">
        <v>102</v>
      </c>
      <c r="C86" s="28" t="s">
        <v>169</v>
      </c>
      <c r="D86" s="101">
        <f>D84+D73</f>
        <v>10966559</v>
      </c>
      <c r="E86" s="101">
        <f t="shared" ref="E86:Y86" si="46">E84+E73</f>
        <v>11576559</v>
      </c>
      <c r="F86" s="101">
        <f t="shared" si="46"/>
        <v>-610000</v>
      </c>
      <c r="G86" s="101">
        <f t="shared" si="46"/>
        <v>9051500</v>
      </c>
      <c r="H86" s="101">
        <f t="shared" si="46"/>
        <v>4887708.6999999993</v>
      </c>
      <c r="I86" s="101">
        <f t="shared" si="46"/>
        <v>345108.7</v>
      </c>
      <c r="J86" s="101">
        <f t="shared" si="46"/>
        <v>0</v>
      </c>
      <c r="K86" s="101">
        <f t="shared" si="46"/>
        <v>345108.7</v>
      </c>
      <c r="L86" s="101">
        <f t="shared" si="46"/>
        <v>5232817.4000000004</v>
      </c>
      <c r="M86" s="101">
        <f t="shared" si="46"/>
        <v>494682.59999999992</v>
      </c>
      <c r="N86" s="101">
        <f t="shared" si="46"/>
        <v>496059</v>
      </c>
      <c r="O86" s="101">
        <f t="shared" si="46"/>
        <v>4743000</v>
      </c>
      <c r="P86" s="101">
        <f t="shared" si="46"/>
        <v>3818682.6</v>
      </c>
      <c r="Q86" s="101">
        <f t="shared" si="46"/>
        <v>25000</v>
      </c>
      <c r="R86" s="101">
        <f t="shared" si="46"/>
        <v>0</v>
      </c>
      <c r="S86" s="101">
        <f t="shared" si="46"/>
        <v>25000</v>
      </c>
      <c r="T86" s="101">
        <f t="shared" si="46"/>
        <v>3349000</v>
      </c>
      <c r="U86" s="101">
        <f t="shared" si="46"/>
        <v>-2852941</v>
      </c>
      <c r="V86" s="101">
        <f t="shared" si="46"/>
        <v>-3149000</v>
      </c>
      <c r="W86" s="101">
        <f t="shared" si="46"/>
        <v>200000</v>
      </c>
      <c r="X86" s="101">
        <f t="shared" si="46"/>
        <v>0</v>
      </c>
      <c r="Y86" s="101">
        <f t="shared" si="46"/>
        <v>96059</v>
      </c>
      <c r="Z86" s="101"/>
    </row>
    <row r="87" spans="1:26" s="87" customFormat="1" x14ac:dyDescent="0.25">
      <c r="A87" s="84"/>
      <c r="B87" s="84"/>
      <c r="C87" s="84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>
        <f>D87-L87-M87-N87</f>
        <v>0</v>
      </c>
      <c r="P87" s="88"/>
      <c r="Q87" s="88"/>
      <c r="R87" s="88"/>
      <c r="S87" s="88"/>
      <c r="T87" s="88">
        <f>P87-M87+R87</f>
        <v>0</v>
      </c>
      <c r="U87" s="94">
        <f t="shared" si="17"/>
        <v>0</v>
      </c>
      <c r="V87" s="88"/>
      <c r="W87" s="88"/>
      <c r="X87" s="88"/>
      <c r="Y87" s="84"/>
      <c r="Z87" s="228"/>
    </row>
    <row r="88" spans="1:26" s="123" customFormat="1" ht="16.5" customHeight="1" x14ac:dyDescent="0.25"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223"/>
    </row>
    <row r="89" spans="1:26" s="126" customFormat="1" ht="16.5" hidden="1" customHeight="1" x14ac:dyDescent="0.25">
      <c r="A89" s="125">
        <f>A86+A68+A42</f>
        <v>53</v>
      </c>
      <c r="C89" s="126" t="s">
        <v>248</v>
      </c>
      <c r="D89" s="125">
        <f t="shared" ref="D89:Z89" si="47">D86+D68+D42</f>
        <v>143902088</v>
      </c>
      <c r="E89" s="125">
        <f t="shared" si="47"/>
        <v>116539088</v>
      </c>
      <c r="F89" s="125">
        <f t="shared" si="47"/>
        <v>26528000</v>
      </c>
      <c r="G89" s="125">
        <f t="shared" si="47"/>
        <v>90752029</v>
      </c>
      <c r="H89" s="125">
        <f t="shared" si="47"/>
        <v>76500222</v>
      </c>
      <c r="I89" s="125">
        <f t="shared" si="47"/>
        <v>8371156.3699999992</v>
      </c>
      <c r="J89" s="125">
        <f t="shared" si="47"/>
        <v>0.2</v>
      </c>
      <c r="K89" s="125">
        <f t="shared" si="47"/>
        <v>8371156.5699999994</v>
      </c>
      <c r="L89" s="125">
        <f t="shared" si="47"/>
        <v>84871378.569999993</v>
      </c>
      <c r="M89" s="125">
        <f t="shared" si="47"/>
        <v>4276650.4300000016</v>
      </c>
      <c r="N89" s="125">
        <f t="shared" si="47"/>
        <v>16760379</v>
      </c>
      <c r="O89" s="125">
        <f t="shared" si="47"/>
        <v>37158680</v>
      </c>
      <c r="P89" s="125">
        <f t="shared" si="47"/>
        <v>5880650.4300000016</v>
      </c>
      <c r="Q89" s="125">
        <f t="shared" si="47"/>
        <v>1575000</v>
      </c>
      <c r="R89" s="125">
        <f t="shared" si="47"/>
        <v>170000</v>
      </c>
      <c r="S89" s="125">
        <f t="shared" si="47"/>
        <v>1745000</v>
      </c>
      <c r="T89" s="125">
        <f t="shared" si="47"/>
        <v>3349000</v>
      </c>
      <c r="U89" s="224">
        <f t="shared" si="47"/>
        <v>13411379</v>
      </c>
      <c r="V89" s="125">
        <f t="shared" si="47"/>
        <v>6671000</v>
      </c>
      <c r="W89" s="125">
        <f t="shared" si="47"/>
        <v>6570000</v>
      </c>
      <c r="X89" s="125">
        <f t="shared" si="47"/>
        <v>0</v>
      </c>
      <c r="Y89" s="125">
        <f t="shared" si="47"/>
        <v>96059</v>
      </c>
      <c r="Z89" s="125">
        <f t="shared" si="47"/>
        <v>0</v>
      </c>
    </row>
    <row r="90" spans="1:26" s="126" customFormat="1" ht="16.5" hidden="1" customHeight="1" x14ac:dyDescent="0.25">
      <c r="D90" s="127"/>
      <c r="E90" s="127"/>
      <c r="F90" s="127"/>
      <c r="G90" s="127"/>
      <c r="H90" s="127"/>
      <c r="I90" s="127"/>
      <c r="J90" s="127"/>
      <c r="K90" s="127"/>
      <c r="L90" s="125">
        <f>K89+H89</f>
        <v>84871378.569999993</v>
      </c>
      <c r="M90" s="125">
        <f>P89+S89-T89</f>
        <v>4276650.4300000016</v>
      </c>
      <c r="N90" s="127"/>
      <c r="O90" s="127"/>
      <c r="P90" s="125">
        <f>G89-L89</f>
        <v>5880650.4300000072</v>
      </c>
      <c r="Q90" s="127"/>
      <c r="R90" s="127"/>
      <c r="S90" s="127"/>
      <c r="T90" s="127"/>
      <c r="U90" s="225"/>
      <c r="V90" s="127"/>
      <c r="W90" s="127"/>
      <c r="X90" s="127"/>
      <c r="Y90" s="127"/>
    </row>
    <row r="92" spans="1:26" hidden="1" x14ac:dyDescent="0.25">
      <c r="N92" s="105" t="s">
        <v>471</v>
      </c>
      <c r="O92" s="105" t="s">
        <v>472</v>
      </c>
      <c r="Q92" s="105">
        <f>'[1]שאיפה '!$AY$28</f>
        <v>1550000</v>
      </c>
      <c r="U92" s="226"/>
      <c r="V92" s="128"/>
      <c r="W92" s="128"/>
      <c r="X92" s="128"/>
      <c r="Y92" s="128"/>
    </row>
    <row r="93" spans="1:26" hidden="1" x14ac:dyDescent="0.25">
      <c r="U93" s="226"/>
      <c r="V93" s="128"/>
      <c r="W93" s="128"/>
      <c r="X93" s="128"/>
      <c r="Y93" s="128"/>
    </row>
    <row r="94" spans="1:26" hidden="1" x14ac:dyDescent="0.25">
      <c r="N94" s="105" t="s">
        <v>518</v>
      </c>
      <c r="Q94" s="105">
        <f>'[3]שאיפה '!$AZ$27</f>
        <v>450000</v>
      </c>
      <c r="U94" s="226"/>
      <c r="V94" s="128"/>
      <c r="W94" s="128"/>
      <c r="X94" s="128"/>
      <c r="Y94" s="128"/>
    </row>
    <row r="95" spans="1:26" hidden="1" x14ac:dyDescent="0.25">
      <c r="N95" s="105" t="s">
        <v>524</v>
      </c>
      <c r="Q95" s="105">
        <f>'[5]שאיפה '!$BC$27</f>
        <v>1100000</v>
      </c>
      <c r="U95" s="226"/>
      <c r="V95" s="128"/>
      <c r="W95" s="128"/>
      <c r="X95" s="128"/>
      <c r="Y95" s="128"/>
    </row>
    <row r="96" spans="1:26" hidden="1" x14ac:dyDescent="0.25">
      <c r="Q96" s="105">
        <f>SUM(Q94:Q95)</f>
        <v>1550000</v>
      </c>
      <c r="U96" s="226"/>
      <c r="V96" s="128"/>
      <c r="W96" s="128"/>
      <c r="X96" s="128"/>
      <c r="Y96" s="128"/>
    </row>
    <row r="97" spans="1:25" hidden="1" x14ac:dyDescent="0.25">
      <c r="A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Q97" s="105">
        <f>Q42-Q92</f>
        <v>0</v>
      </c>
    </row>
    <row r="98" spans="1:25" hidden="1" x14ac:dyDescent="0.25">
      <c r="A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 t="s">
        <v>227</v>
      </c>
      <c r="Q98" s="105">
        <f>'[1]שאיפה '!$AY$62</f>
        <v>25000</v>
      </c>
      <c r="U98" s="226"/>
      <c r="W98" s="128"/>
      <c r="Y98" s="128"/>
    </row>
    <row r="99" spans="1:25" hidden="1" x14ac:dyDescent="0.25">
      <c r="A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U99" s="226"/>
      <c r="W99" s="128"/>
      <c r="Y99" s="128"/>
    </row>
    <row r="100" spans="1:25" hidden="1" x14ac:dyDescent="0.25">
      <c r="A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105" t="s">
        <v>518</v>
      </c>
      <c r="O100" s="80"/>
      <c r="Q100" s="105">
        <f>'[3]שאיפה '!$AZ$61</f>
        <v>25000</v>
      </c>
      <c r="U100" s="226"/>
      <c r="W100" s="128"/>
      <c r="Y100" s="128"/>
    </row>
    <row r="101" spans="1:25" hidden="1" x14ac:dyDescent="0.25">
      <c r="A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Q101" s="105">
        <f>Q86-Q98</f>
        <v>0</v>
      </c>
      <c r="U101" s="226"/>
      <c r="W101" s="128"/>
      <c r="Y101" s="128"/>
    </row>
    <row r="102" spans="1:25" hidden="1" x14ac:dyDescent="0.25">
      <c r="A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 t="s">
        <v>464</v>
      </c>
      <c r="O102" s="105" t="s">
        <v>472</v>
      </c>
      <c r="R102" s="105">
        <f>'[1]ריכוז תקציבים מעבר לתוכנית 31.8'!$AD$147</f>
        <v>170000</v>
      </c>
      <c r="U102" s="226"/>
      <c r="W102" s="128"/>
      <c r="Y102" s="128"/>
    </row>
    <row r="103" spans="1:25" hidden="1" x14ac:dyDescent="0.25">
      <c r="A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U103" s="226"/>
      <c r="W103" s="128"/>
      <c r="Y103" s="128"/>
    </row>
    <row r="104" spans="1:25" hidden="1" x14ac:dyDescent="0.25">
      <c r="A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05" t="s">
        <v>517</v>
      </c>
      <c r="R104" s="200">
        <v>170000</v>
      </c>
      <c r="S104" s="105" t="s">
        <v>477</v>
      </c>
      <c r="U104" s="226"/>
      <c r="W104" s="128"/>
      <c r="Y104" s="128"/>
    </row>
    <row r="105" spans="1:25" hidden="1" x14ac:dyDescent="0.25">
      <c r="A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U105" s="226"/>
      <c r="W105" s="128"/>
      <c r="Y105" s="128"/>
    </row>
    <row r="106" spans="1:25" hidden="1" x14ac:dyDescent="0.25">
      <c r="A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Q106" s="105">
        <f>Q86-Q98</f>
        <v>0</v>
      </c>
      <c r="U106" s="226"/>
      <c r="W106" s="128"/>
      <c r="Y106" s="128"/>
    </row>
    <row r="107" spans="1:25" hidden="1" x14ac:dyDescent="0.25">
      <c r="A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O107" s="105" t="s">
        <v>222</v>
      </c>
      <c r="Q107" s="105">
        <v>650000</v>
      </c>
      <c r="R107" s="80"/>
      <c r="S107" s="80"/>
    </row>
    <row r="108" spans="1:25" hidden="1" x14ac:dyDescent="0.25">
      <c r="A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O108" s="105" t="s">
        <v>463</v>
      </c>
      <c r="Q108" s="105">
        <f>800000+100000</f>
        <v>900000</v>
      </c>
    </row>
    <row r="109" spans="1:25" hidden="1" x14ac:dyDescent="0.25">
      <c r="A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Q109" s="105">
        <f>SUM(Q107:Q108)</f>
        <v>1550000</v>
      </c>
    </row>
    <row r="110" spans="1:25" hidden="1" x14ac:dyDescent="0.25"/>
    <row r="111" spans="1:25" hidden="1" x14ac:dyDescent="0.25"/>
    <row r="112" spans="1:25" hidden="1" x14ac:dyDescent="0.25">
      <c r="A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O112" s="105" t="s">
        <v>227</v>
      </c>
      <c r="R112" s="105" t="s">
        <v>227</v>
      </c>
      <c r="S112" s="105" t="s">
        <v>464</v>
      </c>
    </row>
    <row r="113" spans="1:26" hidden="1" x14ac:dyDescent="0.25">
      <c r="A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O113" s="105" t="s">
        <v>463</v>
      </c>
      <c r="Q113" s="105">
        <v>25000</v>
      </c>
      <c r="R113" s="105">
        <v>160000</v>
      </c>
    </row>
    <row r="114" spans="1:26" x14ac:dyDescent="0.25">
      <c r="A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R114" s="105" t="e">
        <f>#REF!</f>
        <v>#REF!</v>
      </c>
      <c r="S114" s="105" t="s">
        <v>473</v>
      </c>
    </row>
    <row r="115" spans="1:26" s="211" customForma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105" t="e">
        <f>SUM(R113:R114)</f>
        <v>#REF!</v>
      </c>
      <c r="S115" s="80"/>
      <c r="T115" s="80"/>
      <c r="V115" s="80"/>
      <c r="W115" s="80"/>
      <c r="X115" s="80"/>
      <c r="Y115" s="80"/>
      <c r="Z115" s="80"/>
    </row>
  </sheetData>
  <sheetProtection formatCells="0" formatColumns="0" formatRows="0" insertColumns="0" insertRows="0" insertHyperlinks="0" deleteColumns="0" deleteRows="0" sort="0" autoFilter="0" pivotTables="0"/>
  <sortState ref="A8:Z28">
    <sortCondition ref="Z8:Z28"/>
  </sortState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50"/>
  <sheetViews>
    <sheetView showZeros="0" rightToLeft="1" zoomScaleNormal="100" workbookViewId="0">
      <pane xSplit="3" ySplit="5" topLeftCell="D15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33203125" style="21" customWidth="1"/>
    <col min="4" max="5" width="12.6640625" style="19" customWidth="1"/>
    <col min="6" max="6" width="11.109375" style="19" customWidth="1"/>
    <col min="7" max="10" width="12.6640625" style="19" hidden="1" customWidth="1"/>
    <col min="11" max="11" width="11.33203125" style="19" hidden="1" customWidth="1"/>
    <col min="12" max="12" width="10.5546875" style="19" customWidth="1"/>
    <col min="13" max="13" width="10.88671875" style="19" customWidth="1"/>
    <col min="14" max="14" width="11.109375" style="19" bestFit="1" customWidth="1"/>
    <col min="15" max="15" width="10.5546875" style="19" customWidth="1"/>
    <col min="16" max="17" width="11.109375" style="19" hidden="1" customWidth="1"/>
    <col min="18" max="19" width="12" style="19" hidden="1" customWidth="1"/>
    <col min="20" max="20" width="10.33203125" style="19" hidden="1" customWidth="1"/>
    <col min="21" max="21" width="11.88671875" style="77" bestFit="1" customWidth="1"/>
    <col min="22" max="22" width="9" style="21" customWidth="1"/>
    <col min="23" max="23" width="8" style="21" customWidth="1"/>
    <col min="24" max="24" width="11.88671875" style="21" hidden="1" customWidth="1"/>
    <col min="25" max="25" width="12.6640625" style="21" customWidth="1"/>
    <col min="26" max="26" width="7.88671875" style="21" customWidth="1"/>
    <col min="27" max="28" width="9.109375" style="21"/>
    <col min="29" max="29" width="9.109375" style="21" customWidth="1"/>
    <col min="30" max="16384" width="9.109375" style="21"/>
  </cols>
  <sheetData>
    <row r="2" spans="1:26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2"/>
    </row>
    <row r="3" spans="1:26" ht="18" x14ac:dyDescent="0.35">
      <c r="A3" s="450" t="s">
        <v>268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</row>
    <row r="5" spans="1:26" s="58" customFormat="1" ht="86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82" t="s">
        <v>492</v>
      </c>
      <c r="N5" s="5" t="s">
        <v>299</v>
      </c>
      <c r="O5" s="5" t="s">
        <v>300</v>
      </c>
      <c r="P5" s="5" t="s">
        <v>12</v>
      </c>
      <c r="Q5" s="5" t="s">
        <v>301</v>
      </c>
      <c r="R5" s="5" t="s">
        <v>302</v>
      </c>
      <c r="S5" s="5" t="s">
        <v>303</v>
      </c>
      <c r="T5" s="5" t="s">
        <v>304</v>
      </c>
      <c r="U5" s="214" t="s">
        <v>305</v>
      </c>
      <c r="V5" s="5" t="s">
        <v>13</v>
      </c>
      <c r="W5" s="5" t="s">
        <v>14</v>
      </c>
      <c r="X5" s="5" t="s">
        <v>15</v>
      </c>
      <c r="Y5" s="5" t="s">
        <v>223</v>
      </c>
      <c r="Z5" s="5" t="s">
        <v>16</v>
      </c>
    </row>
    <row r="6" spans="1:26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5"/>
      <c r="V6" s="7"/>
      <c r="W6" s="7"/>
      <c r="X6" s="7"/>
      <c r="Y6" s="6"/>
      <c r="Z6" s="10"/>
    </row>
    <row r="7" spans="1:26" s="9" customFormat="1" ht="15" customHeight="1" x14ac:dyDescent="0.3">
      <c r="A7" s="6">
        <f>A6+1</f>
        <v>1</v>
      </c>
      <c r="B7" s="145">
        <v>1939</v>
      </c>
      <c r="C7" s="146" t="s">
        <v>485</v>
      </c>
      <c r="D7" s="147">
        <v>500000</v>
      </c>
      <c r="E7" s="147">
        <v>500000</v>
      </c>
      <c r="F7" s="7">
        <f>D7-E7</f>
        <v>0</v>
      </c>
      <c r="G7" s="7">
        <v>0</v>
      </c>
      <c r="H7" s="7">
        <v>0</v>
      </c>
      <c r="I7" s="7"/>
      <c r="J7" s="7"/>
      <c r="K7" s="7">
        <f>SUM(I7:J7)</f>
        <v>0</v>
      </c>
      <c r="L7" s="7">
        <f>H7+K7</f>
        <v>0</v>
      </c>
      <c r="M7" s="7">
        <f>P7+S7</f>
        <v>500000</v>
      </c>
      <c r="N7" s="7"/>
      <c r="O7" s="7">
        <f>D7-L7-M7-N7</f>
        <v>0</v>
      </c>
      <c r="P7" s="7">
        <f>G7-L7</f>
        <v>0</v>
      </c>
      <c r="Q7" s="7"/>
      <c r="R7" s="7">
        <v>500000</v>
      </c>
      <c r="S7" s="7">
        <f>SUM(Q7:R7)</f>
        <v>500000</v>
      </c>
      <c r="T7" s="7">
        <f>P7-M7+S7</f>
        <v>0</v>
      </c>
      <c r="U7" s="15">
        <f>N7-T7</f>
        <v>0</v>
      </c>
      <c r="V7" s="7">
        <f>U7-W7-X7-Y7</f>
        <v>0</v>
      </c>
      <c r="W7" s="7"/>
      <c r="X7" s="7"/>
      <c r="Y7" s="6"/>
      <c r="Z7" s="6">
        <v>724000</v>
      </c>
    </row>
    <row r="8" spans="1:26" s="13" customFormat="1" ht="15" customHeight="1" x14ac:dyDescent="0.3">
      <c r="A8" s="11"/>
      <c r="B8" s="161"/>
      <c r="C8" s="241">
        <v>72</v>
      </c>
      <c r="D8" s="162">
        <f>SUM(D7)</f>
        <v>500000</v>
      </c>
      <c r="E8" s="162">
        <f t="shared" ref="E8:Y8" si="0">SUM(E7)</f>
        <v>500000</v>
      </c>
      <c r="F8" s="162">
        <f t="shared" si="0"/>
        <v>0</v>
      </c>
      <c r="G8" s="162">
        <f t="shared" si="0"/>
        <v>0</v>
      </c>
      <c r="H8" s="162">
        <f t="shared" si="0"/>
        <v>0</v>
      </c>
      <c r="I8" s="162">
        <f t="shared" si="0"/>
        <v>0</v>
      </c>
      <c r="J8" s="162">
        <f t="shared" si="0"/>
        <v>0</v>
      </c>
      <c r="K8" s="162">
        <f t="shared" si="0"/>
        <v>0</v>
      </c>
      <c r="L8" s="162">
        <f t="shared" si="0"/>
        <v>0</v>
      </c>
      <c r="M8" s="162">
        <f t="shared" si="0"/>
        <v>500000</v>
      </c>
      <c r="N8" s="162">
        <f t="shared" si="0"/>
        <v>0</v>
      </c>
      <c r="O8" s="162">
        <f t="shared" si="0"/>
        <v>0</v>
      </c>
      <c r="P8" s="162">
        <f t="shared" si="0"/>
        <v>0</v>
      </c>
      <c r="Q8" s="162">
        <f t="shared" si="0"/>
        <v>0</v>
      </c>
      <c r="R8" s="162">
        <f t="shared" si="0"/>
        <v>500000</v>
      </c>
      <c r="S8" s="162">
        <f t="shared" si="0"/>
        <v>500000</v>
      </c>
      <c r="T8" s="162">
        <f t="shared" si="0"/>
        <v>0</v>
      </c>
      <c r="U8" s="162">
        <f t="shared" si="0"/>
        <v>0</v>
      </c>
      <c r="V8" s="162">
        <f t="shared" si="0"/>
        <v>0</v>
      </c>
      <c r="W8" s="162">
        <f t="shared" si="0"/>
        <v>0</v>
      </c>
      <c r="X8" s="162">
        <f t="shared" si="0"/>
        <v>0</v>
      </c>
      <c r="Y8" s="162">
        <f t="shared" si="0"/>
        <v>0</v>
      </c>
      <c r="Z8" s="11"/>
    </row>
    <row r="9" spans="1:26" s="9" customFormat="1" ht="15" customHeight="1" x14ac:dyDescent="0.3">
      <c r="A9" s="6"/>
      <c r="B9" s="145"/>
      <c r="C9" s="146"/>
      <c r="D9" s="147"/>
      <c r="E9" s="14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5"/>
      <c r="V9" s="7"/>
      <c r="W9" s="7"/>
      <c r="X9" s="7"/>
      <c r="Y9" s="6"/>
      <c r="Z9" s="6"/>
    </row>
    <row r="10" spans="1:26" s="8" customFormat="1" x14ac:dyDescent="0.25">
      <c r="A10" s="6">
        <f>A7+1</f>
        <v>2</v>
      </c>
      <c r="B10" s="6">
        <v>1519</v>
      </c>
      <c r="C10" s="6" t="s">
        <v>220</v>
      </c>
      <c r="D10" s="7">
        <v>2030000</v>
      </c>
      <c r="E10" s="7">
        <v>2030000</v>
      </c>
      <c r="F10" s="7">
        <f t="shared" ref="F10:F15" si="1">D10-E10</f>
        <v>0</v>
      </c>
      <c r="G10" s="7">
        <v>530000</v>
      </c>
      <c r="H10" s="7">
        <v>402516</v>
      </c>
      <c r="I10" s="7"/>
      <c r="J10" s="7"/>
      <c r="K10" s="7">
        <f t="shared" ref="K10:K15" si="2">SUM(I10:J10)</f>
        <v>0</v>
      </c>
      <c r="L10" s="7">
        <f t="shared" ref="L10:L15" si="3">H10+K10</f>
        <v>402516</v>
      </c>
      <c r="M10" s="7">
        <f t="shared" ref="M10:M15" si="4">P10+S10</f>
        <v>127484</v>
      </c>
      <c r="N10" s="7">
        <v>200000</v>
      </c>
      <c r="O10" s="7">
        <f t="shared" ref="O10:O15" si="5">D10-L10-M10-N10</f>
        <v>1300000</v>
      </c>
      <c r="P10" s="7">
        <f t="shared" ref="P10:P15" si="6">G10-L10</f>
        <v>127484</v>
      </c>
      <c r="Q10" s="7"/>
      <c r="R10" s="7"/>
      <c r="S10" s="7">
        <f t="shared" ref="S10:S15" si="7">SUM(Q10:R10)</f>
        <v>0</v>
      </c>
      <c r="T10" s="7">
        <f t="shared" ref="T10:T15" si="8">P10-M10+S10</f>
        <v>0</v>
      </c>
      <c r="U10" s="15">
        <f t="shared" ref="U10:U15" si="9">N10-T10</f>
        <v>200000</v>
      </c>
      <c r="V10" s="7">
        <f t="shared" ref="V10:V15" si="10">U10-W10-X10-Y10</f>
        <v>200000</v>
      </c>
      <c r="W10" s="7"/>
      <c r="X10" s="7"/>
      <c r="Y10" s="7"/>
      <c r="Z10" s="6">
        <v>732000</v>
      </c>
    </row>
    <row r="11" spans="1:26" s="8" customFormat="1" x14ac:dyDescent="0.25">
      <c r="A11" s="6">
        <f>A10+1</f>
        <v>3</v>
      </c>
      <c r="B11" s="6">
        <v>1867</v>
      </c>
      <c r="C11" s="6" t="s">
        <v>378</v>
      </c>
      <c r="D11" s="7">
        <f>350000+370000</f>
        <v>720000</v>
      </c>
      <c r="E11" s="7">
        <v>350000</v>
      </c>
      <c r="F11" s="7">
        <f t="shared" si="1"/>
        <v>370000</v>
      </c>
      <c r="G11" s="7">
        <v>100000</v>
      </c>
      <c r="H11" s="7">
        <v>0</v>
      </c>
      <c r="I11" s="7"/>
      <c r="J11" s="7"/>
      <c r="K11" s="7">
        <f t="shared" si="2"/>
        <v>0</v>
      </c>
      <c r="L11" s="7">
        <f t="shared" si="3"/>
        <v>0</v>
      </c>
      <c r="M11" s="7">
        <f t="shared" si="4"/>
        <v>200000</v>
      </c>
      <c r="N11" s="7">
        <v>250000</v>
      </c>
      <c r="O11" s="7">
        <f t="shared" si="5"/>
        <v>270000</v>
      </c>
      <c r="P11" s="7">
        <f t="shared" si="6"/>
        <v>100000</v>
      </c>
      <c r="Q11" s="150">
        <v>100000</v>
      </c>
      <c r="R11" s="7"/>
      <c r="S11" s="7">
        <f t="shared" si="7"/>
        <v>100000</v>
      </c>
      <c r="T11" s="7">
        <f t="shared" si="8"/>
        <v>0</v>
      </c>
      <c r="U11" s="15">
        <f t="shared" si="9"/>
        <v>250000</v>
      </c>
      <c r="V11" s="7">
        <f t="shared" si="10"/>
        <v>250000</v>
      </c>
      <c r="W11" s="7"/>
      <c r="X11" s="7"/>
      <c r="Y11" s="6"/>
      <c r="Z11" s="6">
        <v>732000</v>
      </c>
    </row>
    <row r="12" spans="1:26" s="8" customFormat="1" ht="15.6" x14ac:dyDescent="0.25">
      <c r="A12" s="6">
        <f>A11+1</f>
        <v>4</v>
      </c>
      <c r="B12" s="378">
        <v>1941</v>
      </c>
      <c r="C12" s="146" t="s">
        <v>486</v>
      </c>
      <c r="D12" s="147">
        <v>775000</v>
      </c>
      <c r="E12" s="147">
        <v>775000</v>
      </c>
      <c r="F12" s="7">
        <f t="shared" si="1"/>
        <v>0</v>
      </c>
      <c r="G12" s="7">
        <v>0</v>
      </c>
      <c r="H12" s="7">
        <v>0</v>
      </c>
      <c r="I12" s="7"/>
      <c r="J12" s="7"/>
      <c r="K12" s="7">
        <f t="shared" si="2"/>
        <v>0</v>
      </c>
      <c r="L12" s="7">
        <f t="shared" si="3"/>
        <v>0</v>
      </c>
      <c r="M12" s="7">
        <f t="shared" si="4"/>
        <v>350000</v>
      </c>
      <c r="N12" s="7">
        <v>425000</v>
      </c>
      <c r="O12" s="7">
        <f t="shared" si="5"/>
        <v>0</v>
      </c>
      <c r="P12" s="7">
        <f t="shared" si="6"/>
        <v>0</v>
      </c>
      <c r="Q12" s="7"/>
      <c r="R12" s="7">
        <v>350000</v>
      </c>
      <c r="S12" s="7">
        <f t="shared" si="7"/>
        <v>350000</v>
      </c>
      <c r="T12" s="7">
        <f t="shared" si="8"/>
        <v>0</v>
      </c>
      <c r="U12" s="15">
        <f t="shared" si="9"/>
        <v>425000</v>
      </c>
      <c r="V12" s="7">
        <f t="shared" si="10"/>
        <v>425000</v>
      </c>
      <c r="W12" s="7"/>
      <c r="X12" s="7"/>
      <c r="Y12" s="6"/>
      <c r="Z12" s="6">
        <v>732000</v>
      </c>
    </row>
    <row r="13" spans="1:26" s="8" customFormat="1" ht="15" customHeight="1" x14ac:dyDescent="0.3">
      <c r="A13" s="6">
        <f>A12+1</f>
        <v>5</v>
      </c>
      <c r="B13" s="145">
        <v>1979</v>
      </c>
      <c r="C13" s="146" t="s">
        <v>489</v>
      </c>
      <c r="D13" s="147">
        <v>195000</v>
      </c>
      <c r="E13" s="147"/>
      <c r="F13" s="7">
        <f t="shared" si="1"/>
        <v>195000</v>
      </c>
      <c r="G13" s="7">
        <v>0</v>
      </c>
      <c r="H13" s="7">
        <v>0</v>
      </c>
      <c r="I13" s="7"/>
      <c r="J13" s="7"/>
      <c r="K13" s="7">
        <f t="shared" si="2"/>
        <v>0</v>
      </c>
      <c r="L13" s="7">
        <f t="shared" si="3"/>
        <v>0</v>
      </c>
      <c r="M13" s="7">
        <f t="shared" si="4"/>
        <v>0</v>
      </c>
      <c r="N13" s="7">
        <v>195000</v>
      </c>
      <c r="O13" s="7">
        <f t="shared" si="5"/>
        <v>0</v>
      </c>
      <c r="P13" s="7">
        <f t="shared" si="6"/>
        <v>0</v>
      </c>
      <c r="Q13" s="7"/>
      <c r="R13" s="7"/>
      <c r="S13" s="7">
        <f t="shared" si="7"/>
        <v>0</v>
      </c>
      <c r="T13" s="7">
        <f t="shared" si="8"/>
        <v>0</v>
      </c>
      <c r="U13" s="15">
        <f t="shared" si="9"/>
        <v>195000</v>
      </c>
      <c r="V13" s="7">
        <f t="shared" si="10"/>
        <v>195000</v>
      </c>
      <c r="W13" s="7"/>
      <c r="X13" s="7"/>
      <c r="Y13" s="6"/>
      <c r="Z13" s="6">
        <v>732000</v>
      </c>
    </row>
    <row r="14" spans="1:26" s="8" customFormat="1" ht="15" customHeight="1" x14ac:dyDescent="0.3">
      <c r="A14" s="6">
        <f>A13+1</f>
        <v>6</v>
      </c>
      <c r="B14" s="145">
        <v>1980</v>
      </c>
      <c r="C14" s="146" t="s">
        <v>746</v>
      </c>
      <c r="D14" s="147">
        <v>1150000</v>
      </c>
      <c r="E14" s="147"/>
      <c r="F14" s="7">
        <f t="shared" si="1"/>
        <v>1150000</v>
      </c>
      <c r="G14" s="7">
        <v>0</v>
      </c>
      <c r="H14" s="7">
        <v>0</v>
      </c>
      <c r="I14" s="7"/>
      <c r="J14" s="7"/>
      <c r="K14" s="7">
        <f t="shared" si="2"/>
        <v>0</v>
      </c>
      <c r="L14" s="7">
        <f t="shared" si="3"/>
        <v>0</v>
      </c>
      <c r="M14" s="7">
        <f t="shared" si="4"/>
        <v>0</v>
      </c>
      <c r="N14" s="7">
        <f>850000</f>
        <v>850000</v>
      </c>
      <c r="O14" s="7">
        <f t="shared" si="5"/>
        <v>300000</v>
      </c>
      <c r="P14" s="7">
        <f t="shared" si="6"/>
        <v>0</v>
      </c>
      <c r="Q14" s="7"/>
      <c r="R14" s="7"/>
      <c r="S14" s="7">
        <f t="shared" si="7"/>
        <v>0</v>
      </c>
      <c r="T14" s="7">
        <f t="shared" si="8"/>
        <v>0</v>
      </c>
      <c r="U14" s="15">
        <f t="shared" si="9"/>
        <v>850000</v>
      </c>
      <c r="V14" s="7">
        <f t="shared" si="10"/>
        <v>850000</v>
      </c>
      <c r="W14" s="7"/>
      <c r="X14" s="7"/>
      <c r="Y14" s="6"/>
      <c r="Z14" s="6">
        <v>732000</v>
      </c>
    </row>
    <row r="15" spans="1:26" s="8" customFormat="1" ht="15" customHeight="1" x14ac:dyDescent="0.3">
      <c r="A15" s="6">
        <f>A14+1</f>
        <v>7</v>
      </c>
      <c r="B15" s="145">
        <v>1981</v>
      </c>
      <c r="C15" s="146" t="s">
        <v>490</v>
      </c>
      <c r="D15" s="147">
        <v>980000</v>
      </c>
      <c r="E15" s="147"/>
      <c r="F15" s="7">
        <f t="shared" si="1"/>
        <v>980000</v>
      </c>
      <c r="G15" s="7">
        <v>0</v>
      </c>
      <c r="H15" s="7">
        <v>0</v>
      </c>
      <c r="I15" s="7"/>
      <c r="J15" s="7"/>
      <c r="K15" s="7">
        <f t="shared" si="2"/>
        <v>0</v>
      </c>
      <c r="L15" s="7">
        <f t="shared" si="3"/>
        <v>0</v>
      </c>
      <c r="M15" s="7">
        <f t="shared" si="4"/>
        <v>0</v>
      </c>
      <c r="N15" s="7">
        <v>960000</v>
      </c>
      <c r="O15" s="7">
        <f t="shared" si="5"/>
        <v>20000</v>
      </c>
      <c r="P15" s="7">
        <f t="shared" si="6"/>
        <v>0</v>
      </c>
      <c r="Q15" s="7"/>
      <c r="R15" s="7"/>
      <c r="S15" s="7">
        <f t="shared" si="7"/>
        <v>0</v>
      </c>
      <c r="T15" s="7">
        <f t="shared" si="8"/>
        <v>0</v>
      </c>
      <c r="U15" s="15">
        <f t="shared" si="9"/>
        <v>960000</v>
      </c>
      <c r="V15" s="7">
        <f t="shared" si="10"/>
        <v>960000</v>
      </c>
      <c r="W15" s="7"/>
      <c r="X15" s="7"/>
      <c r="Y15" s="6"/>
      <c r="Z15" s="6">
        <v>732000</v>
      </c>
    </row>
    <row r="16" spans="1:26" s="13" customFormat="1" ht="15" customHeight="1" x14ac:dyDescent="0.3">
      <c r="A16" s="11"/>
      <c r="B16" s="161"/>
      <c r="C16" s="241">
        <v>73</v>
      </c>
      <c r="D16" s="162">
        <f>SUM(D10:D15)</f>
        <v>5850000</v>
      </c>
      <c r="E16" s="162">
        <f t="shared" ref="E16:Y16" si="11">SUM(E10:E15)</f>
        <v>3155000</v>
      </c>
      <c r="F16" s="162">
        <f t="shared" si="11"/>
        <v>2695000</v>
      </c>
      <c r="G16" s="162">
        <f t="shared" si="11"/>
        <v>630000</v>
      </c>
      <c r="H16" s="162">
        <f t="shared" si="11"/>
        <v>402516</v>
      </c>
      <c r="I16" s="162">
        <f t="shared" si="11"/>
        <v>0</v>
      </c>
      <c r="J16" s="162">
        <f t="shared" si="11"/>
        <v>0</v>
      </c>
      <c r="K16" s="162">
        <f t="shared" si="11"/>
        <v>0</v>
      </c>
      <c r="L16" s="162">
        <f t="shared" si="11"/>
        <v>402516</v>
      </c>
      <c r="M16" s="162">
        <f t="shared" si="11"/>
        <v>677484</v>
      </c>
      <c r="N16" s="162">
        <f t="shared" si="11"/>
        <v>2880000</v>
      </c>
      <c r="O16" s="162">
        <f t="shared" si="11"/>
        <v>1890000</v>
      </c>
      <c r="P16" s="162">
        <f t="shared" si="11"/>
        <v>227484</v>
      </c>
      <c r="Q16" s="162">
        <f t="shared" si="11"/>
        <v>100000</v>
      </c>
      <c r="R16" s="162">
        <f t="shared" si="11"/>
        <v>350000</v>
      </c>
      <c r="S16" s="162">
        <f t="shared" si="11"/>
        <v>450000</v>
      </c>
      <c r="T16" s="162">
        <f t="shared" si="11"/>
        <v>0</v>
      </c>
      <c r="U16" s="162">
        <f t="shared" si="11"/>
        <v>2880000</v>
      </c>
      <c r="V16" s="162">
        <f t="shared" si="11"/>
        <v>2880000</v>
      </c>
      <c r="W16" s="162">
        <f t="shared" si="11"/>
        <v>0</v>
      </c>
      <c r="X16" s="162">
        <f t="shared" si="11"/>
        <v>0</v>
      </c>
      <c r="Y16" s="162">
        <f t="shared" si="11"/>
        <v>0</v>
      </c>
      <c r="Z16" s="11"/>
    </row>
    <row r="17" spans="1:26" s="8" customFormat="1" ht="15" customHeight="1" x14ac:dyDescent="0.3">
      <c r="A17" s="6"/>
      <c r="B17" s="145"/>
      <c r="C17" s="146"/>
      <c r="D17" s="147"/>
      <c r="E17" s="14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5"/>
      <c r="V17" s="7"/>
      <c r="W17" s="7"/>
      <c r="X17" s="7"/>
      <c r="Y17" s="6"/>
      <c r="Z17" s="6"/>
    </row>
    <row r="18" spans="1:26" s="8" customFormat="1" ht="15" customHeight="1" x14ac:dyDescent="0.3">
      <c r="A18" s="6"/>
      <c r="B18" s="145"/>
      <c r="C18" s="146"/>
      <c r="D18" s="147"/>
      <c r="E18" s="14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5"/>
      <c r="V18" s="7"/>
      <c r="W18" s="7"/>
      <c r="X18" s="7"/>
      <c r="Y18" s="6"/>
      <c r="Z18" s="6"/>
    </row>
    <row r="19" spans="1:26" s="8" customFormat="1" x14ac:dyDescent="0.25">
      <c r="A19" s="6">
        <f>A15+1</f>
        <v>8</v>
      </c>
      <c r="B19" s="6">
        <v>1823</v>
      </c>
      <c r="C19" s="6" t="s">
        <v>377</v>
      </c>
      <c r="D19" s="7">
        <f>84960+65040</f>
        <v>150000</v>
      </c>
      <c r="E19" s="7">
        <v>84960</v>
      </c>
      <c r="F19" s="7">
        <f t="shared" ref="F19:F24" si="12">D19-E19</f>
        <v>65040</v>
      </c>
      <c r="G19" s="7">
        <v>84960</v>
      </c>
      <c r="H19" s="7">
        <v>84960</v>
      </c>
      <c r="I19" s="7"/>
      <c r="J19" s="7"/>
      <c r="K19" s="7">
        <f t="shared" ref="K19:K24" si="13">SUM(I19:J19)</f>
        <v>0</v>
      </c>
      <c r="L19" s="7">
        <f t="shared" ref="L19:L24" si="14">H19+K19</f>
        <v>84960</v>
      </c>
      <c r="M19" s="7">
        <f t="shared" ref="M19:M24" si="15">P19+S19</f>
        <v>0</v>
      </c>
      <c r="N19" s="7">
        <v>65040</v>
      </c>
      <c r="O19" s="7">
        <f t="shared" ref="O19:O24" si="16">D19-L19-M19-N19</f>
        <v>0</v>
      </c>
      <c r="P19" s="7">
        <f t="shared" ref="P19:P24" si="17">G19-L19</f>
        <v>0</v>
      </c>
      <c r="Q19" s="7"/>
      <c r="R19" s="7"/>
      <c r="S19" s="7">
        <f t="shared" ref="S19:S24" si="18">SUM(Q19:R19)</f>
        <v>0</v>
      </c>
      <c r="T19" s="7">
        <f t="shared" ref="T19:T24" si="19">P19-M19+S19</f>
        <v>0</v>
      </c>
      <c r="U19" s="15">
        <f t="shared" ref="U19:U24" si="20">N19-T19</f>
        <v>65040</v>
      </c>
      <c r="V19" s="7">
        <f t="shared" ref="V19:V24" si="21">U19-W19-X19-Y19</f>
        <v>0</v>
      </c>
      <c r="W19" s="7">
        <v>65040</v>
      </c>
      <c r="X19" s="7"/>
      <c r="Y19" s="6"/>
      <c r="Z19" s="6">
        <v>742000</v>
      </c>
    </row>
    <row r="20" spans="1:26" s="8" customFormat="1" ht="15.75" customHeight="1" x14ac:dyDescent="0.25">
      <c r="A20" s="6">
        <f>A19+1</f>
        <v>9</v>
      </c>
      <c r="B20" s="6">
        <v>1868</v>
      </c>
      <c r="C20" s="6" t="s">
        <v>379</v>
      </c>
      <c r="D20" s="7">
        <v>650000</v>
      </c>
      <c r="E20" s="7">
        <v>650000</v>
      </c>
      <c r="F20" s="7">
        <f t="shared" si="12"/>
        <v>0</v>
      </c>
      <c r="G20" s="7">
        <v>0</v>
      </c>
      <c r="H20" s="7">
        <v>0</v>
      </c>
      <c r="I20" s="7"/>
      <c r="J20" s="7"/>
      <c r="K20" s="7">
        <f t="shared" si="13"/>
        <v>0</v>
      </c>
      <c r="L20" s="7">
        <f t="shared" si="14"/>
        <v>0</v>
      </c>
      <c r="M20" s="7">
        <f t="shared" si="15"/>
        <v>100000</v>
      </c>
      <c r="N20" s="7">
        <f>550000-550000</f>
        <v>0</v>
      </c>
      <c r="O20" s="7">
        <f t="shared" si="16"/>
        <v>550000</v>
      </c>
      <c r="P20" s="7">
        <f t="shared" si="17"/>
        <v>0</v>
      </c>
      <c r="Q20" s="150">
        <v>100000</v>
      </c>
      <c r="R20" s="7"/>
      <c r="S20" s="7">
        <f t="shared" si="18"/>
        <v>100000</v>
      </c>
      <c r="T20" s="7">
        <f t="shared" si="19"/>
        <v>0</v>
      </c>
      <c r="U20" s="15">
        <f t="shared" si="20"/>
        <v>0</v>
      </c>
      <c r="V20" s="7">
        <f t="shared" si="21"/>
        <v>0</v>
      </c>
      <c r="W20" s="7"/>
      <c r="X20" s="7"/>
      <c r="Y20" s="6"/>
      <c r="Z20" s="6">
        <v>742000</v>
      </c>
    </row>
    <row r="21" spans="1:26" s="8" customFormat="1" ht="15.75" customHeight="1" x14ac:dyDescent="0.25">
      <c r="A21" s="6">
        <f>A20+1</f>
        <v>10</v>
      </c>
      <c r="B21" s="6">
        <v>1869</v>
      </c>
      <c r="C21" s="6" t="s">
        <v>380</v>
      </c>
      <c r="D21" s="7">
        <v>500000</v>
      </c>
      <c r="E21" s="7">
        <v>500000</v>
      </c>
      <c r="F21" s="7">
        <f t="shared" si="12"/>
        <v>0</v>
      </c>
      <c r="G21" s="7">
        <v>0</v>
      </c>
      <c r="H21" s="7">
        <v>0</v>
      </c>
      <c r="I21" s="7"/>
      <c r="J21" s="7"/>
      <c r="K21" s="7">
        <f t="shared" si="13"/>
        <v>0</v>
      </c>
      <c r="L21" s="7">
        <f t="shared" si="14"/>
        <v>0</v>
      </c>
      <c r="M21" s="7">
        <f t="shared" si="15"/>
        <v>0</v>
      </c>
      <c r="N21" s="7">
        <v>500000</v>
      </c>
      <c r="O21" s="7">
        <f t="shared" si="16"/>
        <v>0</v>
      </c>
      <c r="P21" s="7">
        <f t="shared" si="17"/>
        <v>0</v>
      </c>
      <c r="Q21" s="7"/>
      <c r="R21" s="7"/>
      <c r="S21" s="7">
        <f t="shared" si="18"/>
        <v>0</v>
      </c>
      <c r="T21" s="7">
        <f t="shared" si="19"/>
        <v>0</v>
      </c>
      <c r="U21" s="15">
        <f t="shared" si="20"/>
        <v>500000</v>
      </c>
      <c r="V21" s="7">
        <f t="shared" si="21"/>
        <v>500000</v>
      </c>
      <c r="W21" s="7"/>
      <c r="X21" s="7"/>
      <c r="Y21" s="6"/>
      <c r="Z21" s="6">
        <v>742000</v>
      </c>
    </row>
    <row r="22" spans="1:26" s="8" customFormat="1" x14ac:dyDescent="0.25">
      <c r="A22" s="6">
        <f>A21+1</f>
        <v>11</v>
      </c>
      <c r="B22" s="6">
        <v>1870</v>
      </c>
      <c r="C22" s="6" t="s">
        <v>383</v>
      </c>
      <c r="D22" s="7">
        <v>7230000</v>
      </c>
      <c r="E22" s="7">
        <v>6830000</v>
      </c>
      <c r="F22" s="7">
        <f t="shared" si="12"/>
        <v>400000</v>
      </c>
      <c r="G22" s="7">
        <v>4000000</v>
      </c>
      <c r="H22" s="7">
        <v>3637515.38</v>
      </c>
      <c r="I22" s="7"/>
      <c r="J22" s="7"/>
      <c r="K22" s="7">
        <f t="shared" si="13"/>
        <v>0</v>
      </c>
      <c r="L22" s="7">
        <f t="shared" si="14"/>
        <v>3637515.38</v>
      </c>
      <c r="M22" s="7">
        <f t="shared" si="15"/>
        <v>1862484.62</v>
      </c>
      <c r="N22" s="7">
        <v>1730000</v>
      </c>
      <c r="O22" s="7">
        <f t="shared" si="16"/>
        <v>0</v>
      </c>
      <c r="P22" s="7">
        <f t="shared" si="17"/>
        <v>362484.62000000011</v>
      </c>
      <c r="Q22" s="7"/>
      <c r="R22" s="204">
        <v>1500000</v>
      </c>
      <c r="S22" s="7">
        <f t="shared" si="18"/>
        <v>1500000</v>
      </c>
      <c r="T22" s="7">
        <f t="shared" si="19"/>
        <v>0</v>
      </c>
      <c r="U22" s="15">
        <f t="shared" si="20"/>
        <v>1730000</v>
      </c>
      <c r="V22" s="7">
        <f t="shared" si="21"/>
        <v>1730000</v>
      </c>
      <c r="W22" s="7"/>
      <c r="X22" s="7"/>
      <c r="Y22" s="6"/>
      <c r="Z22" s="6">
        <v>742000</v>
      </c>
    </row>
    <row r="23" spans="1:26" s="8" customFormat="1" ht="15.6" x14ac:dyDescent="0.3">
      <c r="A23" s="6">
        <f>A22+1</f>
        <v>12</v>
      </c>
      <c r="B23" s="145">
        <v>1934</v>
      </c>
      <c r="C23" s="146" t="s">
        <v>484</v>
      </c>
      <c r="D23" s="147">
        <v>1300000</v>
      </c>
      <c r="E23" s="147">
        <v>1300000</v>
      </c>
      <c r="F23" s="7">
        <f t="shared" si="12"/>
        <v>0</v>
      </c>
      <c r="G23" s="7">
        <v>1000000</v>
      </c>
      <c r="H23" s="7">
        <v>456674.4</v>
      </c>
      <c r="I23" s="7"/>
      <c r="J23" s="7"/>
      <c r="K23" s="7">
        <f t="shared" si="13"/>
        <v>0</v>
      </c>
      <c r="L23" s="7">
        <f t="shared" si="14"/>
        <v>456674.4</v>
      </c>
      <c r="M23" s="7">
        <f t="shared" si="15"/>
        <v>843325.6</v>
      </c>
      <c r="N23" s="7"/>
      <c r="O23" s="7">
        <f t="shared" si="16"/>
        <v>0</v>
      </c>
      <c r="P23" s="7">
        <f t="shared" si="17"/>
        <v>543325.6</v>
      </c>
      <c r="Q23" s="7"/>
      <c r="R23" s="199">
        <v>300000</v>
      </c>
      <c r="S23" s="7">
        <f t="shared" si="18"/>
        <v>300000</v>
      </c>
      <c r="T23" s="7">
        <f t="shared" si="19"/>
        <v>0</v>
      </c>
      <c r="U23" s="15">
        <f t="shared" si="20"/>
        <v>0</v>
      </c>
      <c r="V23" s="7">
        <f t="shared" si="21"/>
        <v>0</v>
      </c>
      <c r="W23" s="7"/>
      <c r="X23" s="7"/>
      <c r="Y23" s="6"/>
      <c r="Z23" s="6">
        <v>742000</v>
      </c>
    </row>
    <row r="24" spans="1:26" s="8" customFormat="1" x14ac:dyDescent="0.25">
      <c r="A24" s="6">
        <f>A23+1</f>
        <v>13</v>
      </c>
      <c r="B24" s="6">
        <v>1932</v>
      </c>
      <c r="C24" s="6" t="s">
        <v>382</v>
      </c>
      <c r="D24" s="7">
        <v>5000000</v>
      </c>
      <c r="E24" s="7">
        <v>5000000</v>
      </c>
      <c r="F24" s="7">
        <f t="shared" si="12"/>
        <v>0</v>
      </c>
      <c r="G24" s="7">
        <v>0</v>
      </c>
      <c r="H24" s="7">
        <v>0</v>
      </c>
      <c r="I24" s="7"/>
      <c r="J24" s="7"/>
      <c r="K24" s="7">
        <f t="shared" si="13"/>
        <v>0</v>
      </c>
      <c r="L24" s="7">
        <f t="shared" si="14"/>
        <v>0</v>
      </c>
      <c r="M24" s="7">
        <f t="shared" si="15"/>
        <v>100000</v>
      </c>
      <c r="N24" s="7">
        <f>5000000-100000</f>
        <v>4900000</v>
      </c>
      <c r="O24" s="7">
        <f t="shared" si="16"/>
        <v>0</v>
      </c>
      <c r="P24" s="7">
        <f t="shared" si="17"/>
        <v>0</v>
      </c>
      <c r="Q24" s="7"/>
      <c r="R24" s="199">
        <v>100000</v>
      </c>
      <c r="S24" s="7">
        <f t="shared" si="18"/>
        <v>100000</v>
      </c>
      <c r="T24" s="7">
        <f t="shared" si="19"/>
        <v>0</v>
      </c>
      <c r="U24" s="15">
        <f t="shared" si="20"/>
        <v>4900000</v>
      </c>
      <c r="V24" s="7">
        <f t="shared" si="21"/>
        <v>0</v>
      </c>
      <c r="W24" s="7"/>
      <c r="X24" s="7"/>
      <c r="Y24" s="7">
        <v>4900000</v>
      </c>
      <c r="Z24" s="6">
        <v>746000</v>
      </c>
    </row>
    <row r="25" spans="1:26" s="13" customFormat="1" ht="15.6" x14ac:dyDescent="0.25">
      <c r="A25" s="11"/>
      <c r="B25" s="11"/>
      <c r="C25" s="11">
        <v>74</v>
      </c>
      <c r="D25" s="12">
        <f>SUM(D19:D24)</f>
        <v>14830000</v>
      </c>
      <c r="E25" s="12">
        <f t="shared" ref="E25:Y25" si="22">SUM(E19:E24)</f>
        <v>14364960</v>
      </c>
      <c r="F25" s="12">
        <f t="shared" si="22"/>
        <v>465040</v>
      </c>
      <c r="G25" s="12">
        <f t="shared" si="22"/>
        <v>5084960</v>
      </c>
      <c r="H25" s="12">
        <f t="shared" si="22"/>
        <v>4179149.78</v>
      </c>
      <c r="I25" s="12">
        <f t="shared" si="22"/>
        <v>0</v>
      </c>
      <c r="J25" s="12">
        <f t="shared" si="22"/>
        <v>0</v>
      </c>
      <c r="K25" s="12">
        <f t="shared" si="22"/>
        <v>0</v>
      </c>
      <c r="L25" s="12">
        <f t="shared" si="22"/>
        <v>4179149.78</v>
      </c>
      <c r="M25" s="12">
        <f t="shared" si="22"/>
        <v>2905810.22</v>
      </c>
      <c r="N25" s="12">
        <f t="shared" si="22"/>
        <v>7195040</v>
      </c>
      <c r="O25" s="12">
        <f t="shared" si="22"/>
        <v>550000</v>
      </c>
      <c r="P25" s="12">
        <f t="shared" si="22"/>
        <v>905810.22000000009</v>
      </c>
      <c r="Q25" s="12">
        <f t="shared" si="22"/>
        <v>100000</v>
      </c>
      <c r="R25" s="12">
        <f t="shared" si="22"/>
        <v>1900000</v>
      </c>
      <c r="S25" s="12">
        <f t="shared" si="22"/>
        <v>2000000</v>
      </c>
      <c r="T25" s="12">
        <f t="shared" si="22"/>
        <v>0</v>
      </c>
      <c r="U25" s="12">
        <f t="shared" si="22"/>
        <v>7195040</v>
      </c>
      <c r="V25" s="12">
        <f t="shared" si="22"/>
        <v>2230000</v>
      </c>
      <c r="W25" s="12">
        <f t="shared" si="22"/>
        <v>65040</v>
      </c>
      <c r="X25" s="12">
        <f t="shared" si="22"/>
        <v>0</v>
      </c>
      <c r="Y25" s="12">
        <f t="shared" si="22"/>
        <v>4900000</v>
      </c>
      <c r="Z25" s="11"/>
    </row>
    <row r="26" spans="1:26" s="8" customFormat="1" x14ac:dyDescent="0.25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99"/>
      <c r="S26" s="7"/>
      <c r="T26" s="7"/>
      <c r="U26" s="15"/>
      <c r="V26" s="7"/>
      <c r="W26" s="7"/>
      <c r="X26" s="7"/>
      <c r="Y26" s="7"/>
      <c r="Z26" s="6"/>
    </row>
    <row r="27" spans="1:26" s="8" customFormat="1" ht="15.75" customHeight="1" x14ac:dyDescent="0.25">
      <c r="A27" s="6">
        <f>A24+1</f>
        <v>14</v>
      </c>
      <c r="B27" s="6">
        <v>1920</v>
      </c>
      <c r="C27" s="6" t="s">
        <v>381</v>
      </c>
      <c r="D27" s="7">
        <v>400000</v>
      </c>
      <c r="E27" s="7">
        <v>300000</v>
      </c>
      <c r="F27" s="7">
        <f>D27-E27</f>
        <v>100000</v>
      </c>
      <c r="G27" s="7">
        <v>0</v>
      </c>
      <c r="H27" s="7">
        <v>0</v>
      </c>
      <c r="I27" s="7"/>
      <c r="J27" s="7"/>
      <c r="K27" s="7">
        <f>SUM(I27:J27)</f>
        <v>0</v>
      </c>
      <c r="L27" s="7">
        <f>H27+K27</f>
        <v>0</v>
      </c>
      <c r="M27" s="7">
        <f>P27+S27</f>
        <v>300000</v>
      </c>
      <c r="N27" s="7">
        <f>200000-100000</f>
        <v>100000</v>
      </c>
      <c r="O27" s="7">
        <f>D27-L27-M27-N27</f>
        <v>0</v>
      </c>
      <c r="P27" s="7">
        <f>G27-L27</f>
        <v>0</v>
      </c>
      <c r="Q27" s="7"/>
      <c r="R27" s="199">
        <f>50000+250000</f>
        <v>300000</v>
      </c>
      <c r="S27" s="7">
        <f>SUM(Q27:R27)</f>
        <v>300000</v>
      </c>
      <c r="T27" s="7">
        <f>P27-M27+S27</f>
        <v>0</v>
      </c>
      <c r="U27" s="15">
        <f>N27-T27</f>
        <v>100000</v>
      </c>
      <c r="V27" s="7">
        <f>U27-W27-X27-Y27</f>
        <v>100000</v>
      </c>
      <c r="W27" s="7"/>
      <c r="X27" s="7"/>
      <c r="Y27" s="6"/>
      <c r="Z27" s="6">
        <v>747000</v>
      </c>
    </row>
    <row r="28" spans="1:26" s="13" customFormat="1" ht="15.75" customHeight="1" x14ac:dyDescent="0.25">
      <c r="A28" s="11"/>
      <c r="B28" s="11"/>
      <c r="C28" s="11">
        <v>747</v>
      </c>
      <c r="D28" s="12">
        <f>SUM(D27)</f>
        <v>400000</v>
      </c>
      <c r="E28" s="12">
        <f t="shared" ref="E28:Y28" si="23">SUM(E27)</f>
        <v>300000</v>
      </c>
      <c r="F28" s="12">
        <f t="shared" si="23"/>
        <v>100000</v>
      </c>
      <c r="G28" s="12">
        <f t="shared" si="23"/>
        <v>0</v>
      </c>
      <c r="H28" s="12">
        <f t="shared" si="23"/>
        <v>0</v>
      </c>
      <c r="I28" s="12">
        <f t="shared" si="23"/>
        <v>0</v>
      </c>
      <c r="J28" s="12">
        <f t="shared" si="23"/>
        <v>0</v>
      </c>
      <c r="K28" s="12">
        <f t="shared" si="23"/>
        <v>0</v>
      </c>
      <c r="L28" s="12">
        <f t="shared" si="23"/>
        <v>0</v>
      </c>
      <c r="M28" s="12">
        <f t="shared" si="23"/>
        <v>300000</v>
      </c>
      <c r="N28" s="12">
        <f t="shared" si="23"/>
        <v>100000</v>
      </c>
      <c r="O28" s="12">
        <f t="shared" si="23"/>
        <v>0</v>
      </c>
      <c r="P28" s="12">
        <f t="shared" si="23"/>
        <v>0</v>
      </c>
      <c r="Q28" s="12">
        <f t="shared" si="23"/>
        <v>0</v>
      </c>
      <c r="R28" s="12">
        <f t="shared" si="23"/>
        <v>300000</v>
      </c>
      <c r="S28" s="12">
        <f t="shared" si="23"/>
        <v>300000</v>
      </c>
      <c r="T28" s="12">
        <f t="shared" si="23"/>
        <v>0</v>
      </c>
      <c r="U28" s="12">
        <f t="shared" si="23"/>
        <v>100000</v>
      </c>
      <c r="V28" s="12">
        <f t="shared" si="23"/>
        <v>100000</v>
      </c>
      <c r="W28" s="12">
        <f t="shared" si="23"/>
        <v>0</v>
      </c>
      <c r="X28" s="12">
        <f t="shared" si="23"/>
        <v>0</v>
      </c>
      <c r="Y28" s="12">
        <f t="shared" si="23"/>
        <v>0</v>
      </c>
      <c r="Z28" s="11"/>
    </row>
    <row r="29" spans="1:26" s="13" customFormat="1" ht="15.75" customHeight="1" x14ac:dyDescent="0.25">
      <c r="A29" s="11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1"/>
    </row>
    <row r="30" spans="1:26" s="8" customFormat="1" ht="15.6" x14ac:dyDescent="0.25">
      <c r="A30" s="3">
        <f>A27</f>
        <v>14</v>
      </c>
      <c r="B30" s="11" t="s">
        <v>102</v>
      </c>
      <c r="C30" s="11" t="s">
        <v>221</v>
      </c>
      <c r="D30" s="12">
        <f>D28+D25+D16+D8</f>
        <v>21580000</v>
      </c>
      <c r="E30" s="12">
        <f t="shared" ref="E30:Y30" si="24">E28+E25+E16+E8</f>
        <v>18319960</v>
      </c>
      <c r="F30" s="12">
        <f t="shared" si="24"/>
        <v>3260040</v>
      </c>
      <c r="G30" s="12">
        <f t="shared" si="24"/>
        <v>5714960</v>
      </c>
      <c r="H30" s="12">
        <f t="shared" si="24"/>
        <v>4581665.7799999993</v>
      </c>
      <c r="I30" s="12">
        <f t="shared" si="24"/>
        <v>0</v>
      </c>
      <c r="J30" s="12">
        <f t="shared" si="24"/>
        <v>0</v>
      </c>
      <c r="K30" s="12">
        <f t="shared" si="24"/>
        <v>0</v>
      </c>
      <c r="L30" s="12">
        <f t="shared" si="24"/>
        <v>4581665.7799999993</v>
      </c>
      <c r="M30" s="12">
        <f t="shared" si="24"/>
        <v>4383294.2200000007</v>
      </c>
      <c r="N30" s="12">
        <f t="shared" si="24"/>
        <v>10175040</v>
      </c>
      <c r="O30" s="12">
        <f t="shared" si="24"/>
        <v>2440000</v>
      </c>
      <c r="P30" s="12">
        <f t="shared" si="24"/>
        <v>1133294.2200000002</v>
      </c>
      <c r="Q30" s="12">
        <f t="shared" si="24"/>
        <v>200000</v>
      </c>
      <c r="R30" s="12">
        <f t="shared" si="24"/>
        <v>3050000</v>
      </c>
      <c r="S30" s="12">
        <f t="shared" si="24"/>
        <v>3250000</v>
      </c>
      <c r="T30" s="12">
        <f t="shared" si="24"/>
        <v>0</v>
      </c>
      <c r="U30" s="12">
        <f t="shared" si="24"/>
        <v>10175040</v>
      </c>
      <c r="V30" s="12">
        <f t="shared" si="24"/>
        <v>5210000</v>
      </c>
      <c r="W30" s="12">
        <f t="shared" si="24"/>
        <v>65040</v>
      </c>
      <c r="X30" s="12">
        <f t="shared" si="24"/>
        <v>0</v>
      </c>
      <c r="Y30" s="12">
        <f t="shared" si="24"/>
        <v>4900000</v>
      </c>
      <c r="Z30" s="12"/>
    </row>
    <row r="31" spans="1:26" s="8" customFormat="1" x14ac:dyDescent="0.25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>D31-L31-M31-N31</f>
        <v>0</v>
      </c>
      <c r="P31" s="7"/>
      <c r="Q31" s="7"/>
      <c r="R31" s="7"/>
      <c r="S31" s="7"/>
      <c r="T31" s="7">
        <f>P31-M31+R31</f>
        <v>0</v>
      </c>
      <c r="U31" s="15">
        <f>N31-T31</f>
        <v>0</v>
      </c>
      <c r="V31" s="7"/>
      <c r="W31" s="7"/>
      <c r="X31" s="7"/>
      <c r="Y31" s="6"/>
      <c r="Z31" s="6"/>
    </row>
    <row r="32" spans="1:26" s="8" customFormat="1" x14ac:dyDescent="0.25">
      <c r="A32" s="54"/>
      <c r="B32" s="54"/>
      <c r="C32" s="54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227"/>
      <c r="V32" s="148"/>
      <c r="W32" s="148"/>
      <c r="X32" s="148"/>
      <c r="Y32" s="54"/>
      <c r="Z32" s="54"/>
    </row>
    <row r="33" spans="1:26" x14ac:dyDescent="0.25">
      <c r="M33" s="68">
        <f>P30+S30</f>
        <v>4383294.2200000007</v>
      </c>
      <c r="P33" s="68">
        <f>G30-L30</f>
        <v>1133294.2200000007</v>
      </c>
    </row>
    <row r="34" spans="1:26" x14ac:dyDescent="0.25">
      <c r="M34" s="63"/>
      <c r="P34" s="63"/>
    </row>
    <row r="35" spans="1:26" hidden="1" x14ac:dyDescent="0.25">
      <c r="M35" s="63"/>
      <c r="P35" s="63" t="s">
        <v>525</v>
      </c>
      <c r="Q35" s="19">
        <f>'[1]החברה לתיירות '!$AY$25</f>
        <v>200000</v>
      </c>
    </row>
    <row r="36" spans="1:26" hidden="1" x14ac:dyDescent="0.25">
      <c r="M36" s="63"/>
      <c r="P36" s="63"/>
    </row>
    <row r="37" spans="1:26" hidden="1" x14ac:dyDescent="0.25">
      <c r="M37" s="63"/>
      <c r="P37" s="63" t="s">
        <v>518</v>
      </c>
      <c r="Q37" s="19">
        <f>'[3]החברה לתיירות '!$AZ$24</f>
        <v>200000</v>
      </c>
    </row>
    <row r="38" spans="1:26" hidden="1" x14ac:dyDescent="0.25">
      <c r="M38" s="63"/>
      <c r="P38" s="63"/>
    </row>
    <row r="39" spans="1:26" hidden="1" x14ac:dyDescent="0.25">
      <c r="R39" s="19">
        <f>'[1]ריכוז תקציבים מעבר לתוכנית 31.8'!$AD$155</f>
        <v>2750000</v>
      </c>
    </row>
    <row r="40" spans="1:26" hidden="1" x14ac:dyDescent="0.25">
      <c r="R40" s="19">
        <f>'[1]ריכוז תקציבים מעבר לתוכנית 31.8'!$AD$53</f>
        <v>300000</v>
      </c>
      <c r="S40" s="19" t="s">
        <v>488</v>
      </c>
      <c r="T40" s="19" t="s">
        <v>487</v>
      </c>
    </row>
    <row r="41" spans="1:26" hidden="1" x14ac:dyDescent="0.25">
      <c r="R41" s="19">
        <f>SUM(R39:R40)</f>
        <v>3050000</v>
      </c>
    </row>
    <row r="42" spans="1:26" s="19" customFormat="1" hidden="1" x14ac:dyDescent="0.25">
      <c r="A42" s="20"/>
      <c r="B42" s="21"/>
      <c r="C42" s="21"/>
      <c r="U42" s="77"/>
      <c r="V42" s="21"/>
      <c r="W42" s="21"/>
      <c r="X42" s="21"/>
      <c r="Y42" s="21"/>
      <c r="Z42" s="21"/>
    </row>
    <row r="43" spans="1:26" s="19" customFormat="1" hidden="1" x14ac:dyDescent="0.25">
      <c r="A43" s="20"/>
      <c r="B43" s="21"/>
      <c r="C43" s="21"/>
      <c r="U43" s="77"/>
      <c r="V43" s="21"/>
      <c r="W43" s="21"/>
      <c r="X43" s="21"/>
      <c r="Y43" s="21"/>
      <c r="Z43" s="21"/>
    </row>
    <row r="44" spans="1:26" s="19" customFormat="1" hidden="1" x14ac:dyDescent="0.25">
      <c r="A44" s="20"/>
      <c r="B44" s="21"/>
      <c r="C44" s="21"/>
      <c r="U44" s="77"/>
      <c r="V44" s="21"/>
      <c r="W44" s="21"/>
      <c r="X44" s="21"/>
      <c r="Y44" s="21"/>
      <c r="Z44" s="21"/>
    </row>
    <row r="45" spans="1:26" s="19" customFormat="1" hidden="1" x14ac:dyDescent="0.25">
      <c r="A45" s="20"/>
      <c r="B45" s="21"/>
      <c r="C45" s="21"/>
      <c r="P45" s="19" t="s">
        <v>522</v>
      </c>
      <c r="R45" s="205">
        <v>1500000</v>
      </c>
      <c r="S45" s="19" t="s">
        <v>222</v>
      </c>
      <c r="U45" s="77"/>
      <c r="V45" s="21"/>
      <c r="W45" s="21"/>
      <c r="X45" s="21"/>
      <c r="Y45" s="21"/>
      <c r="Z45" s="21"/>
    </row>
    <row r="46" spans="1:26" s="19" customFormat="1" hidden="1" x14ac:dyDescent="0.25">
      <c r="A46" s="20"/>
      <c r="B46" s="21"/>
      <c r="C46" s="21"/>
      <c r="P46" s="19" t="s">
        <v>517</v>
      </c>
      <c r="R46" s="19">
        <v>700000</v>
      </c>
      <c r="U46" s="77"/>
      <c r="V46" s="21"/>
      <c r="W46" s="21"/>
      <c r="X46" s="21"/>
      <c r="Y46" s="21"/>
      <c r="Z46" s="21"/>
    </row>
    <row r="47" spans="1:26" s="19" customFormat="1" hidden="1" x14ac:dyDescent="0.25">
      <c r="A47" s="20"/>
      <c r="B47" s="21"/>
      <c r="C47" s="21"/>
      <c r="R47" s="19">
        <f>SUM(R45:R46)</f>
        <v>2200000</v>
      </c>
      <c r="U47" s="77"/>
      <c r="V47" s="21"/>
      <c r="W47" s="21"/>
      <c r="X47" s="21"/>
      <c r="Y47" s="21"/>
      <c r="Z47" s="21"/>
    </row>
    <row r="48" spans="1:26" s="19" customFormat="1" hidden="1" x14ac:dyDescent="0.25">
      <c r="A48" s="20"/>
      <c r="B48" s="21"/>
      <c r="C48" s="21"/>
      <c r="P48" s="19" t="s">
        <v>531</v>
      </c>
      <c r="R48" s="19">
        <f>R30-R47</f>
        <v>850000</v>
      </c>
      <c r="U48" s="77"/>
      <c r="V48" s="21"/>
      <c r="W48" s="21"/>
      <c r="X48" s="21"/>
      <c r="Y48" s="21"/>
      <c r="Z48" s="21"/>
    </row>
    <row r="49" spans="1:26" s="19" customFormat="1" hidden="1" x14ac:dyDescent="0.25">
      <c r="A49" s="20"/>
      <c r="B49" s="21"/>
      <c r="C49" s="21"/>
      <c r="R49" s="19">
        <f>R22+R21</f>
        <v>1500000</v>
      </c>
      <c r="S49" s="19" t="s">
        <v>534</v>
      </c>
      <c r="U49" s="77"/>
      <c r="V49" s="21"/>
      <c r="W49" s="21"/>
      <c r="X49" s="21"/>
      <c r="Y49" s="21"/>
      <c r="Z49" s="21"/>
    </row>
    <row r="50" spans="1:26" s="19" customFormat="1" hidden="1" x14ac:dyDescent="0.25">
      <c r="A50" s="20"/>
      <c r="B50" s="21"/>
      <c r="C50" s="21"/>
      <c r="U50" s="77"/>
      <c r="V50" s="21"/>
      <c r="W50" s="21"/>
      <c r="X50" s="21"/>
      <c r="Y50" s="21"/>
      <c r="Z50" s="21"/>
    </row>
  </sheetData>
  <sheetProtection formatCells="0" formatColumns="0" formatRows="0" insertColumns="0" insertRows="0" insertHyperlinks="0" deleteColumns="0" deleteRows="0" sort="0" autoFilter="0" pivotTables="0"/>
  <sortState ref="A7:Z20">
    <sortCondition ref="Z7:Z20"/>
  </sortState>
  <mergeCells count="2">
    <mergeCell ref="A2:W2"/>
    <mergeCell ref="A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4"/>
  <sheetViews>
    <sheetView rightToLeft="1" workbookViewId="0">
      <pane xSplit="3" ySplit="6" topLeftCell="D7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133" customWidth="1"/>
    <col min="2" max="2" width="6.6640625" style="132" customWidth="1"/>
    <col min="3" max="3" width="28.5546875" style="132" customWidth="1"/>
    <col min="4" max="5" width="12.6640625" style="144" customWidth="1"/>
    <col min="6" max="6" width="11.109375" style="144" customWidth="1"/>
    <col min="7" max="10" width="12.6640625" style="144" hidden="1" customWidth="1"/>
    <col min="11" max="11" width="11.33203125" style="144" hidden="1" customWidth="1"/>
    <col min="12" max="12" width="11.44140625" style="144" customWidth="1"/>
    <col min="13" max="13" width="10.33203125" style="144" customWidth="1"/>
    <col min="14" max="14" width="11.109375" style="144" bestFit="1" customWidth="1"/>
    <col min="15" max="15" width="10.109375" style="144" customWidth="1"/>
    <col min="16" max="17" width="11.109375" style="144" hidden="1" customWidth="1"/>
    <col min="18" max="19" width="12" style="144" hidden="1" customWidth="1"/>
    <col min="20" max="20" width="8.6640625" style="144" customWidth="1"/>
    <col min="21" max="21" width="11.88671875" style="132" bestFit="1" customWidth="1"/>
    <col min="22" max="22" width="9" style="132" customWidth="1"/>
    <col min="23" max="23" width="11.88671875" style="132" customWidth="1"/>
    <col min="24" max="24" width="6" style="132" customWidth="1"/>
    <col min="25" max="25" width="4" style="132" customWidth="1"/>
    <col min="26" max="26" width="7.88671875" style="132" customWidth="1"/>
    <col min="27" max="27" width="9.109375" style="132" customWidth="1"/>
    <col min="28" max="16384" width="9.109375" style="131"/>
  </cols>
  <sheetData>
    <row r="2" spans="1:27" ht="18" x14ac:dyDescent="0.35">
      <c r="A2" s="452" t="s">
        <v>298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129"/>
      <c r="Y2" s="130"/>
      <c r="Z2" s="130"/>
      <c r="AA2" s="130"/>
    </row>
    <row r="3" spans="1:27" ht="18" x14ac:dyDescent="0.35">
      <c r="A3" s="452" t="s">
        <v>270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</row>
    <row r="5" spans="1:27" ht="69" x14ac:dyDescent="0.25">
      <c r="A5" s="134" t="s">
        <v>0</v>
      </c>
      <c r="B5" s="134" t="s">
        <v>1</v>
      </c>
      <c r="C5" s="134" t="s">
        <v>2</v>
      </c>
      <c r="D5" s="134" t="s">
        <v>3</v>
      </c>
      <c r="E5" s="134" t="s">
        <v>4</v>
      </c>
      <c r="F5" s="134" t="s">
        <v>5</v>
      </c>
      <c r="G5" s="134" t="s">
        <v>6</v>
      </c>
      <c r="H5" s="134" t="s">
        <v>7</v>
      </c>
      <c r="I5" s="134" t="s">
        <v>8</v>
      </c>
      <c r="J5" s="134" t="s">
        <v>9</v>
      </c>
      <c r="K5" s="134" t="s">
        <v>10</v>
      </c>
      <c r="L5" s="134" t="s">
        <v>11</v>
      </c>
      <c r="M5" s="82" t="s">
        <v>492</v>
      </c>
      <c r="N5" s="134" t="s">
        <v>299</v>
      </c>
      <c r="O5" s="134" t="s">
        <v>300</v>
      </c>
      <c r="P5" s="134" t="s">
        <v>12</v>
      </c>
      <c r="Q5" s="134" t="s">
        <v>301</v>
      </c>
      <c r="R5" s="134" t="s">
        <v>302</v>
      </c>
      <c r="S5" s="134" t="s">
        <v>303</v>
      </c>
      <c r="T5" s="134" t="s">
        <v>304</v>
      </c>
      <c r="U5" s="134" t="s">
        <v>305</v>
      </c>
      <c r="V5" s="134" t="s">
        <v>13</v>
      </c>
      <c r="W5" s="134" t="s">
        <v>14</v>
      </c>
      <c r="X5" s="134" t="s">
        <v>15</v>
      </c>
      <c r="Y5" s="134" t="s">
        <v>223</v>
      </c>
      <c r="Z5" s="134" t="s">
        <v>16</v>
      </c>
      <c r="AA5" s="135"/>
    </row>
    <row r="6" spans="1:27" x14ac:dyDescent="0.25">
      <c r="A6" s="138"/>
      <c r="B6" s="138"/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8"/>
      <c r="Z6" s="136"/>
      <c r="AA6" s="137"/>
    </row>
    <row r="7" spans="1:27" x14ac:dyDescent="0.25">
      <c r="A7" s="138"/>
      <c r="B7" s="138"/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>
        <f>D7-L7-M7-N7</f>
        <v>0</v>
      </c>
      <c r="P7" s="139"/>
      <c r="Q7" s="139"/>
      <c r="R7" s="139"/>
      <c r="S7" s="139"/>
      <c r="T7" s="139">
        <f>P7-M7+R7</f>
        <v>0</v>
      </c>
      <c r="U7" s="139">
        <f>N7-T7</f>
        <v>0</v>
      </c>
      <c r="V7" s="139"/>
      <c r="W7" s="139"/>
      <c r="X7" s="139"/>
      <c r="Y7" s="138"/>
      <c r="Z7" s="138"/>
      <c r="AA7" s="137"/>
    </row>
    <row r="8" spans="1:27" x14ac:dyDescent="0.25">
      <c r="A8" s="138">
        <f>A7+1</f>
        <v>1</v>
      </c>
      <c r="B8" s="138">
        <v>1497</v>
      </c>
      <c r="C8" s="138" t="s">
        <v>172</v>
      </c>
      <c r="D8" s="139">
        <v>8820000</v>
      </c>
      <c r="E8" s="139">
        <v>8820000</v>
      </c>
      <c r="F8" s="139">
        <f>D8-E8</f>
        <v>0</v>
      </c>
      <c r="G8" s="139">
        <v>2460000</v>
      </c>
      <c r="H8" s="139">
        <v>1944270</v>
      </c>
      <c r="I8" s="139">
        <v>15987</v>
      </c>
      <c r="J8" s="139">
        <v>487200</v>
      </c>
      <c r="K8" s="139">
        <f>SUM(I8:J8)</f>
        <v>503187</v>
      </c>
      <c r="L8" s="139">
        <f>H8+K8</f>
        <v>2447457</v>
      </c>
      <c r="M8" s="139">
        <v>543</v>
      </c>
      <c r="N8" s="139">
        <v>300000</v>
      </c>
      <c r="O8" s="139">
        <f>D8-L8-M8-N8</f>
        <v>6072000</v>
      </c>
      <c r="P8" s="139">
        <f>G8-L8</f>
        <v>12543</v>
      </c>
      <c r="Q8" s="139"/>
      <c r="R8" s="139"/>
      <c r="S8" s="139">
        <f>SUM(Q8:R8)</f>
        <v>0</v>
      </c>
      <c r="T8" s="139">
        <f>P8-M8+S8</f>
        <v>12000</v>
      </c>
      <c r="U8" s="139">
        <f>N8-T8</f>
        <v>288000</v>
      </c>
      <c r="V8" s="139"/>
      <c r="W8" s="139">
        <f>U8-V8</f>
        <v>288000</v>
      </c>
      <c r="X8" s="139"/>
      <c r="Y8" s="138"/>
      <c r="Z8" s="138">
        <v>610000</v>
      </c>
      <c r="AA8" s="137"/>
    </row>
    <row r="9" spans="1:27" s="401" customFormat="1" ht="15.6" x14ac:dyDescent="0.3">
      <c r="A9" s="141"/>
      <c r="B9" s="141"/>
      <c r="C9" s="141">
        <v>61</v>
      </c>
      <c r="D9" s="142">
        <f>SUM(D8)</f>
        <v>8820000</v>
      </c>
      <c r="E9" s="142">
        <f t="shared" ref="E9:Y9" si="0">SUM(E8)</f>
        <v>8820000</v>
      </c>
      <c r="F9" s="142">
        <f t="shared" si="0"/>
        <v>0</v>
      </c>
      <c r="G9" s="142">
        <f t="shared" si="0"/>
        <v>2460000</v>
      </c>
      <c r="H9" s="142">
        <f t="shared" si="0"/>
        <v>1944270</v>
      </c>
      <c r="I9" s="142">
        <f t="shared" si="0"/>
        <v>15987</v>
      </c>
      <c r="J9" s="142">
        <f t="shared" si="0"/>
        <v>487200</v>
      </c>
      <c r="K9" s="142">
        <f t="shared" si="0"/>
        <v>503187</v>
      </c>
      <c r="L9" s="142">
        <f t="shared" si="0"/>
        <v>2447457</v>
      </c>
      <c r="M9" s="142">
        <f t="shared" si="0"/>
        <v>543</v>
      </c>
      <c r="N9" s="142">
        <f t="shared" si="0"/>
        <v>300000</v>
      </c>
      <c r="O9" s="142">
        <f t="shared" si="0"/>
        <v>6072000</v>
      </c>
      <c r="P9" s="142">
        <f t="shared" si="0"/>
        <v>12543</v>
      </c>
      <c r="Q9" s="142">
        <f t="shared" si="0"/>
        <v>0</v>
      </c>
      <c r="R9" s="142">
        <f t="shared" si="0"/>
        <v>0</v>
      </c>
      <c r="S9" s="142">
        <f t="shared" si="0"/>
        <v>0</v>
      </c>
      <c r="T9" s="142">
        <f t="shared" si="0"/>
        <v>12000</v>
      </c>
      <c r="U9" s="142">
        <f t="shared" si="0"/>
        <v>288000</v>
      </c>
      <c r="V9" s="142">
        <f t="shared" si="0"/>
        <v>0</v>
      </c>
      <c r="W9" s="142">
        <f t="shared" si="0"/>
        <v>288000</v>
      </c>
      <c r="X9" s="142">
        <f t="shared" si="0"/>
        <v>0</v>
      </c>
      <c r="Y9" s="142">
        <f t="shared" si="0"/>
        <v>0</v>
      </c>
      <c r="Z9" s="141"/>
      <c r="AA9" s="143"/>
    </row>
    <row r="10" spans="1:27" x14ac:dyDescent="0.25">
      <c r="A10" s="138"/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8"/>
      <c r="Z10" s="138"/>
      <c r="AA10" s="137"/>
    </row>
    <row r="11" spans="1:27" x14ac:dyDescent="0.25">
      <c r="A11" s="138">
        <f>A8+1</f>
        <v>2</v>
      </c>
      <c r="B11" s="138">
        <v>1507</v>
      </c>
      <c r="C11" s="138" t="s">
        <v>121</v>
      </c>
      <c r="D11" s="139">
        <v>1600000</v>
      </c>
      <c r="E11" s="139">
        <v>1600000</v>
      </c>
      <c r="F11" s="139">
        <f t="shared" ref="F11:F16" si="1">D11-E11</f>
        <v>0</v>
      </c>
      <c r="G11" s="139">
        <v>1600000</v>
      </c>
      <c r="H11" s="139">
        <v>1473324.49</v>
      </c>
      <c r="I11" s="139">
        <v>26269.17</v>
      </c>
      <c r="J11" s="139"/>
      <c r="K11" s="139">
        <f t="shared" ref="K11:K16" si="2">SUM(I11:J11)</f>
        <v>26269.17</v>
      </c>
      <c r="L11" s="139">
        <f t="shared" ref="L11:L16" si="3">H11+K11</f>
        <v>1499593.66</v>
      </c>
      <c r="M11" s="139">
        <f>P11+S11</f>
        <v>100406.34000000008</v>
      </c>
      <c r="N11" s="139"/>
      <c r="O11" s="139">
        <f t="shared" ref="O11:O16" si="4">D11-L11-M11-N11</f>
        <v>0</v>
      </c>
      <c r="P11" s="139">
        <f t="shared" ref="P11:P16" si="5">G11-L11</f>
        <v>100406.34000000008</v>
      </c>
      <c r="Q11" s="139"/>
      <c r="R11" s="139"/>
      <c r="S11" s="139">
        <f t="shared" ref="S11:S16" si="6">SUM(Q11:R11)</f>
        <v>0</v>
      </c>
      <c r="T11" s="139">
        <f t="shared" ref="T11:T16" si="7">P11-M11+S11</f>
        <v>0</v>
      </c>
      <c r="U11" s="139">
        <f t="shared" ref="U11:U16" si="8">N11-T11</f>
        <v>0</v>
      </c>
      <c r="V11" s="139"/>
      <c r="W11" s="139">
        <f t="shared" ref="W11:W16" si="9">U11-V11</f>
        <v>0</v>
      </c>
      <c r="X11" s="139"/>
      <c r="Y11" s="138"/>
      <c r="Z11" s="138">
        <v>722000</v>
      </c>
      <c r="AA11" s="137"/>
    </row>
    <row r="12" spans="1:27" ht="27.6" x14ac:dyDescent="0.25">
      <c r="A12" s="138">
        <f>A11+1</f>
        <v>3</v>
      </c>
      <c r="B12" s="138">
        <v>1982</v>
      </c>
      <c r="C12" s="138" t="s">
        <v>475</v>
      </c>
      <c r="D12" s="139">
        <v>1500000</v>
      </c>
      <c r="E12" s="139"/>
      <c r="F12" s="139">
        <f t="shared" si="1"/>
        <v>1500000</v>
      </c>
      <c r="G12" s="139"/>
      <c r="H12" s="139"/>
      <c r="I12" s="139"/>
      <c r="J12" s="139"/>
      <c r="K12" s="139">
        <f t="shared" si="2"/>
        <v>0</v>
      </c>
      <c r="L12" s="139">
        <f t="shared" si="3"/>
        <v>0</v>
      </c>
      <c r="M12" s="139">
        <f>P12+S12</f>
        <v>0</v>
      </c>
      <c r="N12" s="139">
        <v>1500000</v>
      </c>
      <c r="O12" s="139">
        <f t="shared" si="4"/>
        <v>0</v>
      </c>
      <c r="P12" s="139">
        <f t="shared" si="5"/>
        <v>0</v>
      </c>
      <c r="Q12" s="139"/>
      <c r="R12" s="139"/>
      <c r="S12" s="139">
        <f t="shared" si="6"/>
        <v>0</v>
      </c>
      <c r="T12" s="139">
        <f t="shared" si="7"/>
        <v>0</v>
      </c>
      <c r="U12" s="139">
        <f t="shared" si="8"/>
        <v>1500000</v>
      </c>
      <c r="V12" s="139">
        <v>750000</v>
      </c>
      <c r="W12" s="139">
        <f t="shared" si="9"/>
        <v>750000</v>
      </c>
      <c r="X12" s="139"/>
      <c r="Y12" s="138"/>
      <c r="Z12" s="138">
        <v>722000</v>
      </c>
      <c r="AA12" s="137"/>
    </row>
    <row r="13" spans="1:27" x14ac:dyDescent="0.25">
      <c r="A13" s="138">
        <f>A12+1</f>
        <v>4</v>
      </c>
      <c r="B13" s="138">
        <v>1002</v>
      </c>
      <c r="C13" s="138" t="s">
        <v>402</v>
      </c>
      <c r="D13" s="139">
        <v>2080000</v>
      </c>
      <c r="E13" s="139">
        <v>2080000</v>
      </c>
      <c r="F13" s="139">
        <f t="shared" si="1"/>
        <v>0</v>
      </c>
      <c r="G13" s="139">
        <v>1980000</v>
      </c>
      <c r="H13" s="139">
        <v>1922499.86</v>
      </c>
      <c r="I13" s="139">
        <v>15975.9</v>
      </c>
      <c r="J13" s="139"/>
      <c r="K13" s="139">
        <f t="shared" si="2"/>
        <v>15975.9</v>
      </c>
      <c r="L13" s="139">
        <f t="shared" si="3"/>
        <v>1938475.76</v>
      </c>
      <c r="M13" s="139">
        <v>1524</v>
      </c>
      <c r="N13" s="139">
        <v>100000</v>
      </c>
      <c r="O13" s="139">
        <f t="shared" si="4"/>
        <v>40000.239999999991</v>
      </c>
      <c r="P13" s="139">
        <f t="shared" si="5"/>
        <v>41524.239999999991</v>
      </c>
      <c r="Q13" s="139">
        <v>0</v>
      </c>
      <c r="R13" s="139">
        <v>0</v>
      </c>
      <c r="S13" s="139">
        <f t="shared" si="6"/>
        <v>0</v>
      </c>
      <c r="T13" s="139">
        <f t="shared" si="7"/>
        <v>40000.239999999991</v>
      </c>
      <c r="U13" s="139">
        <f t="shared" si="8"/>
        <v>59999.760000000009</v>
      </c>
      <c r="V13" s="139"/>
      <c r="W13" s="139">
        <f t="shared" si="9"/>
        <v>59999.760000000009</v>
      </c>
      <c r="X13" s="139"/>
      <c r="Y13" s="138"/>
      <c r="Z13" s="138">
        <v>760000</v>
      </c>
      <c r="AA13" s="137"/>
    </row>
    <row r="14" spans="1:27" x14ac:dyDescent="0.25">
      <c r="A14" s="138">
        <f>A13+1</f>
        <v>5</v>
      </c>
      <c r="B14" s="138">
        <v>1190</v>
      </c>
      <c r="C14" s="138" t="s">
        <v>171</v>
      </c>
      <c r="D14" s="139">
        <v>2773842</v>
      </c>
      <c r="E14" s="139">
        <v>2773842</v>
      </c>
      <c r="F14" s="139">
        <f t="shared" si="1"/>
        <v>0</v>
      </c>
      <c r="G14" s="139">
        <v>2773842</v>
      </c>
      <c r="H14" s="139">
        <v>2735190.77</v>
      </c>
      <c r="I14" s="139">
        <v>2700.01</v>
      </c>
      <c r="J14" s="139"/>
      <c r="K14" s="139">
        <f t="shared" si="2"/>
        <v>2700.01</v>
      </c>
      <c r="L14" s="139">
        <f t="shared" si="3"/>
        <v>2737890.78</v>
      </c>
      <c r="M14" s="140">
        <f>P14+S14</f>
        <v>35951.220000000205</v>
      </c>
      <c r="N14" s="139"/>
      <c r="O14" s="139">
        <f t="shared" si="4"/>
        <v>0</v>
      </c>
      <c r="P14" s="139">
        <f t="shared" si="5"/>
        <v>35951.220000000205</v>
      </c>
      <c r="Q14" s="139"/>
      <c r="R14" s="139"/>
      <c r="S14" s="139">
        <f t="shared" si="6"/>
        <v>0</v>
      </c>
      <c r="T14" s="139">
        <f t="shared" si="7"/>
        <v>0</v>
      </c>
      <c r="U14" s="139">
        <f t="shared" si="8"/>
        <v>0</v>
      </c>
      <c r="V14" s="139"/>
      <c r="W14" s="139">
        <f t="shared" si="9"/>
        <v>0</v>
      </c>
      <c r="X14" s="139"/>
      <c r="Y14" s="138"/>
      <c r="Z14" s="138">
        <v>760000</v>
      </c>
      <c r="AA14" s="137"/>
    </row>
    <row r="15" spans="1:27" x14ac:dyDescent="0.25">
      <c r="A15" s="138">
        <f>A14+1</f>
        <v>6</v>
      </c>
      <c r="B15" s="138">
        <v>1871</v>
      </c>
      <c r="C15" s="138" t="s">
        <v>403</v>
      </c>
      <c r="D15" s="139">
        <v>11000000</v>
      </c>
      <c r="E15" s="139">
        <v>11000000</v>
      </c>
      <c r="F15" s="139">
        <f t="shared" si="1"/>
        <v>0</v>
      </c>
      <c r="G15" s="139">
        <v>0</v>
      </c>
      <c r="H15" s="139">
        <v>0</v>
      </c>
      <c r="I15" s="139"/>
      <c r="J15" s="139"/>
      <c r="K15" s="139">
        <f t="shared" si="2"/>
        <v>0</v>
      </c>
      <c r="L15" s="139">
        <f t="shared" si="3"/>
        <v>0</v>
      </c>
      <c r="M15" s="139">
        <f>P15+S15</f>
        <v>0</v>
      </c>
      <c r="N15" s="139">
        <v>1500000</v>
      </c>
      <c r="O15" s="139">
        <f t="shared" si="4"/>
        <v>9500000</v>
      </c>
      <c r="P15" s="139">
        <f t="shared" si="5"/>
        <v>0</v>
      </c>
      <c r="Q15" s="139"/>
      <c r="R15" s="139"/>
      <c r="S15" s="139">
        <f t="shared" si="6"/>
        <v>0</v>
      </c>
      <c r="T15" s="139">
        <f t="shared" si="7"/>
        <v>0</v>
      </c>
      <c r="U15" s="139">
        <f t="shared" si="8"/>
        <v>1500000</v>
      </c>
      <c r="V15" s="139">
        <v>1500000</v>
      </c>
      <c r="W15" s="139">
        <f t="shared" si="9"/>
        <v>0</v>
      </c>
      <c r="X15" s="139"/>
      <c r="Y15" s="138"/>
      <c r="Z15" s="138">
        <v>760000</v>
      </c>
      <c r="AA15" s="137"/>
    </row>
    <row r="16" spans="1:27" x14ac:dyDescent="0.25">
      <c r="A16" s="138">
        <f>A15+1</f>
        <v>7</v>
      </c>
      <c r="B16" s="138">
        <v>1110</v>
      </c>
      <c r="C16" s="138" t="s">
        <v>170</v>
      </c>
      <c r="D16" s="139">
        <v>2385000</v>
      </c>
      <c r="E16" s="139">
        <v>2385000</v>
      </c>
      <c r="F16" s="139">
        <f t="shared" si="1"/>
        <v>0</v>
      </c>
      <c r="G16" s="139">
        <v>2385000</v>
      </c>
      <c r="H16" s="139">
        <v>2382194.2999999998</v>
      </c>
      <c r="I16" s="139"/>
      <c r="J16" s="139"/>
      <c r="K16" s="139">
        <f t="shared" si="2"/>
        <v>0</v>
      </c>
      <c r="L16" s="139">
        <f t="shared" si="3"/>
        <v>2382194.2999999998</v>
      </c>
      <c r="M16" s="140">
        <f>P16+S16</f>
        <v>2805.7000000001863</v>
      </c>
      <c r="N16" s="139"/>
      <c r="O16" s="139">
        <f t="shared" si="4"/>
        <v>0</v>
      </c>
      <c r="P16" s="139">
        <f t="shared" si="5"/>
        <v>2805.7000000001863</v>
      </c>
      <c r="Q16" s="139"/>
      <c r="R16" s="139"/>
      <c r="S16" s="139">
        <f t="shared" si="6"/>
        <v>0</v>
      </c>
      <c r="T16" s="7">
        <f t="shared" si="7"/>
        <v>0</v>
      </c>
      <c r="U16" s="139">
        <f t="shared" si="8"/>
        <v>0</v>
      </c>
      <c r="V16" s="139"/>
      <c r="W16" s="139">
        <f t="shared" si="9"/>
        <v>0</v>
      </c>
      <c r="X16" s="139"/>
      <c r="Y16" s="138"/>
      <c r="Z16" s="138">
        <v>769000</v>
      </c>
      <c r="AA16" s="137"/>
    </row>
    <row r="17" spans="1:27" s="401" customFormat="1" ht="15.6" x14ac:dyDescent="0.3">
      <c r="A17" s="141"/>
      <c r="B17" s="141"/>
      <c r="C17" s="402" t="s">
        <v>759</v>
      </c>
      <c r="D17" s="142">
        <f>SUM(D11:D16)</f>
        <v>21338842</v>
      </c>
      <c r="E17" s="142">
        <f t="shared" ref="E17:X17" si="10">SUM(E11:E16)</f>
        <v>19838842</v>
      </c>
      <c r="F17" s="142">
        <f t="shared" si="10"/>
        <v>1500000</v>
      </c>
      <c r="G17" s="142">
        <f t="shared" si="10"/>
        <v>8738842</v>
      </c>
      <c r="H17" s="142">
        <f t="shared" si="10"/>
        <v>8513209.4199999999</v>
      </c>
      <c r="I17" s="142">
        <f t="shared" si="10"/>
        <v>44945.08</v>
      </c>
      <c r="J17" s="142">
        <f t="shared" si="10"/>
        <v>0</v>
      </c>
      <c r="K17" s="142">
        <f t="shared" si="10"/>
        <v>44945.08</v>
      </c>
      <c r="L17" s="142">
        <f t="shared" si="10"/>
        <v>8558154.5</v>
      </c>
      <c r="M17" s="142">
        <f t="shared" si="10"/>
        <v>140687.26000000047</v>
      </c>
      <c r="N17" s="142">
        <f t="shared" si="10"/>
        <v>3100000</v>
      </c>
      <c r="O17" s="142">
        <f t="shared" si="10"/>
        <v>9540000.2400000002</v>
      </c>
      <c r="P17" s="142">
        <f t="shared" si="10"/>
        <v>180687.50000000047</v>
      </c>
      <c r="Q17" s="142">
        <f t="shared" si="10"/>
        <v>0</v>
      </c>
      <c r="R17" s="142">
        <f t="shared" si="10"/>
        <v>0</v>
      </c>
      <c r="S17" s="142">
        <f t="shared" si="10"/>
        <v>0</v>
      </c>
      <c r="T17" s="142">
        <f t="shared" si="10"/>
        <v>40000.239999999991</v>
      </c>
      <c r="U17" s="142">
        <f t="shared" si="10"/>
        <v>3059999.76</v>
      </c>
      <c r="V17" s="142">
        <f t="shared" si="10"/>
        <v>2250000</v>
      </c>
      <c r="W17" s="142">
        <f t="shared" si="10"/>
        <v>809999.76</v>
      </c>
      <c r="X17" s="142">
        <f t="shared" si="10"/>
        <v>0</v>
      </c>
      <c r="Y17" s="141"/>
      <c r="Z17" s="141"/>
      <c r="AA17" s="143"/>
    </row>
    <row r="18" spans="1:27" x14ac:dyDescent="0.25">
      <c r="A18" s="138"/>
      <c r="B18" s="138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40"/>
      <c r="N18" s="139"/>
      <c r="O18" s="139"/>
      <c r="P18" s="139"/>
      <c r="Q18" s="139"/>
      <c r="R18" s="139"/>
      <c r="S18" s="139"/>
      <c r="T18" s="7"/>
      <c r="U18" s="139"/>
      <c r="V18" s="139"/>
      <c r="W18" s="139"/>
      <c r="X18" s="139"/>
      <c r="Y18" s="138"/>
      <c r="Z18" s="138"/>
      <c r="AA18" s="137"/>
    </row>
    <row r="19" spans="1:27" ht="27.6" x14ac:dyDescent="0.25">
      <c r="A19" s="138">
        <f>A16+1</f>
        <v>8</v>
      </c>
      <c r="B19" s="138">
        <v>1647</v>
      </c>
      <c r="C19" s="138" t="s">
        <v>755</v>
      </c>
      <c r="D19" s="139">
        <v>4700000</v>
      </c>
      <c r="E19" s="139">
        <v>4700000</v>
      </c>
      <c r="F19" s="139">
        <f>D19-E19</f>
        <v>0</v>
      </c>
      <c r="G19" s="139">
        <v>1450000</v>
      </c>
      <c r="H19" s="139">
        <f>1310747.05+66529</f>
        <v>1377276.05</v>
      </c>
      <c r="I19" s="139">
        <v>40173.67</v>
      </c>
      <c r="J19" s="139"/>
      <c r="K19" s="139">
        <f>SUM(I19:J19)</f>
        <v>40173.67</v>
      </c>
      <c r="L19" s="139">
        <f>H19+K19</f>
        <v>1417449.72</v>
      </c>
      <c r="M19" s="139">
        <f>P19+S19</f>
        <v>1282550.28</v>
      </c>
      <c r="N19" s="139">
        <v>1250000</v>
      </c>
      <c r="O19" s="139">
        <f>D19-L19-M19-N19</f>
        <v>750000.00000000023</v>
      </c>
      <c r="P19" s="139">
        <f>G19-L19</f>
        <v>32550.280000000028</v>
      </c>
      <c r="Q19" s="139"/>
      <c r="R19" s="139">
        <f>1000000+250000</f>
        <v>1250000</v>
      </c>
      <c r="S19" s="139">
        <f>SUM(Q19:R19)</f>
        <v>1250000</v>
      </c>
      <c r="T19" s="139">
        <f>P19-M19+S19</f>
        <v>0</v>
      </c>
      <c r="U19" s="139">
        <f>N19-T19</f>
        <v>1250000</v>
      </c>
      <c r="V19" s="139">
        <v>250000</v>
      </c>
      <c r="W19" s="139">
        <f>U19-V19</f>
        <v>1000000</v>
      </c>
      <c r="X19" s="139"/>
      <c r="Y19" s="138"/>
      <c r="Z19" s="138">
        <v>810000</v>
      </c>
      <c r="AA19" s="137"/>
    </row>
    <row r="20" spans="1:27" x14ac:dyDescent="0.25">
      <c r="A20" s="138">
        <f>A19+1</f>
        <v>9</v>
      </c>
      <c r="B20" s="138">
        <v>1790</v>
      </c>
      <c r="C20" s="138" t="s">
        <v>173</v>
      </c>
      <c r="D20" s="139">
        <v>415000</v>
      </c>
      <c r="E20" s="139">
        <v>315000</v>
      </c>
      <c r="F20" s="139">
        <f>D20-E20</f>
        <v>100000</v>
      </c>
      <c r="G20" s="139">
        <v>315000</v>
      </c>
      <c r="H20" s="139">
        <v>176342.69</v>
      </c>
      <c r="I20" s="139">
        <f>1698.87+136958</f>
        <v>138656.87</v>
      </c>
      <c r="J20" s="139"/>
      <c r="K20" s="139">
        <f>SUM(I20:J20)</f>
        <v>138656.87</v>
      </c>
      <c r="L20" s="139">
        <f>H20+K20</f>
        <v>314999.56</v>
      </c>
      <c r="M20" s="139">
        <f>P20+S20</f>
        <v>0.44000000000232831</v>
      </c>
      <c r="N20" s="139">
        <v>100000</v>
      </c>
      <c r="O20" s="139">
        <f>D20-L20-M20-N20</f>
        <v>0</v>
      </c>
      <c r="P20" s="139">
        <f>G20-L20</f>
        <v>0.44000000000232831</v>
      </c>
      <c r="Q20" s="139"/>
      <c r="R20" s="139"/>
      <c r="S20" s="139">
        <f>SUM(Q20:R20)</f>
        <v>0</v>
      </c>
      <c r="T20" s="139">
        <f>P20-M20+S20</f>
        <v>0</v>
      </c>
      <c r="U20" s="139">
        <f>N20-T20</f>
        <v>100000</v>
      </c>
      <c r="V20" s="139"/>
      <c r="W20" s="139">
        <f>U20-V20</f>
        <v>100000</v>
      </c>
      <c r="X20" s="139"/>
      <c r="Y20" s="138"/>
      <c r="Z20" s="138">
        <v>810000</v>
      </c>
      <c r="AA20" s="137"/>
    </row>
    <row r="21" spans="1:27" x14ac:dyDescent="0.25">
      <c r="A21" s="138">
        <f>A20+1</f>
        <v>10</v>
      </c>
      <c r="B21" s="138">
        <v>1802</v>
      </c>
      <c r="C21" s="138" t="s">
        <v>474</v>
      </c>
      <c r="D21" s="139">
        <v>2650000</v>
      </c>
      <c r="E21" s="139">
        <v>2650000</v>
      </c>
      <c r="F21" s="139">
        <f>D21-E21</f>
        <v>0</v>
      </c>
      <c r="G21" s="139">
        <v>0</v>
      </c>
      <c r="H21" s="139">
        <v>0</v>
      </c>
      <c r="I21" s="139"/>
      <c r="J21" s="139"/>
      <c r="K21" s="139">
        <f>SUM(I21:J21)</f>
        <v>0</v>
      </c>
      <c r="L21" s="139">
        <f>H21+K21</f>
        <v>0</v>
      </c>
      <c r="M21" s="139">
        <f>P21+S21</f>
        <v>2650000</v>
      </c>
      <c r="N21" s="139"/>
      <c r="O21" s="139">
        <f>D21-L21-M21-N21</f>
        <v>0</v>
      </c>
      <c r="P21" s="139">
        <f>G21-L21</f>
        <v>0</v>
      </c>
      <c r="Q21" s="139">
        <v>2650000</v>
      </c>
      <c r="R21" s="139"/>
      <c r="S21" s="139">
        <f>SUM(Q21:R21)</f>
        <v>2650000</v>
      </c>
      <c r="T21" s="139">
        <f>P21-M21+S21</f>
        <v>0</v>
      </c>
      <c r="U21" s="139">
        <f>N21-T21</f>
        <v>0</v>
      </c>
      <c r="V21" s="139"/>
      <c r="W21" s="139">
        <f>U21-V21</f>
        <v>0</v>
      </c>
      <c r="X21" s="139"/>
      <c r="Y21" s="138"/>
      <c r="Z21" s="138">
        <v>810000</v>
      </c>
      <c r="AA21" s="137"/>
    </row>
    <row r="22" spans="1:27" s="401" customFormat="1" ht="15.6" x14ac:dyDescent="0.3">
      <c r="A22" s="141"/>
      <c r="B22" s="141"/>
      <c r="C22" s="141">
        <v>81</v>
      </c>
      <c r="D22" s="142">
        <f>SUM(D19:D21)</f>
        <v>7765000</v>
      </c>
      <c r="E22" s="142">
        <f t="shared" ref="E22:Y22" si="11">SUM(E19:E21)</f>
        <v>7665000</v>
      </c>
      <c r="F22" s="142">
        <f t="shared" si="11"/>
        <v>100000</v>
      </c>
      <c r="G22" s="142">
        <f t="shared" si="11"/>
        <v>1765000</v>
      </c>
      <c r="H22" s="142">
        <f t="shared" si="11"/>
        <v>1553618.74</v>
      </c>
      <c r="I22" s="142">
        <f t="shared" si="11"/>
        <v>178830.53999999998</v>
      </c>
      <c r="J22" s="142">
        <f t="shared" si="11"/>
        <v>0</v>
      </c>
      <c r="K22" s="142">
        <f t="shared" si="11"/>
        <v>178830.53999999998</v>
      </c>
      <c r="L22" s="142">
        <f t="shared" si="11"/>
        <v>1732449.28</v>
      </c>
      <c r="M22" s="142">
        <f t="shared" si="11"/>
        <v>3932550.7199999997</v>
      </c>
      <c r="N22" s="142">
        <f t="shared" si="11"/>
        <v>1350000</v>
      </c>
      <c r="O22" s="142">
        <f t="shared" si="11"/>
        <v>750000.00000000023</v>
      </c>
      <c r="P22" s="142">
        <f t="shared" si="11"/>
        <v>32550.72000000003</v>
      </c>
      <c r="Q22" s="142">
        <f t="shared" si="11"/>
        <v>2650000</v>
      </c>
      <c r="R22" s="142">
        <f t="shared" si="11"/>
        <v>1250000</v>
      </c>
      <c r="S22" s="142">
        <f t="shared" si="11"/>
        <v>3900000</v>
      </c>
      <c r="T22" s="142">
        <f t="shared" si="11"/>
        <v>0</v>
      </c>
      <c r="U22" s="142">
        <f t="shared" si="11"/>
        <v>1350000</v>
      </c>
      <c r="V22" s="142">
        <f t="shared" si="11"/>
        <v>250000</v>
      </c>
      <c r="W22" s="142">
        <f t="shared" si="11"/>
        <v>1100000</v>
      </c>
      <c r="X22" s="142">
        <f t="shared" si="11"/>
        <v>0</v>
      </c>
      <c r="Y22" s="142">
        <f t="shared" si="11"/>
        <v>0</v>
      </c>
      <c r="Z22" s="141"/>
      <c r="AA22" s="143"/>
    </row>
    <row r="23" spans="1:27" x14ac:dyDescent="0.25">
      <c r="A23" s="138"/>
      <c r="B23" s="138"/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8"/>
      <c r="Z23" s="138"/>
      <c r="AA23" s="137"/>
    </row>
    <row r="24" spans="1:27" ht="15.6" x14ac:dyDescent="0.25">
      <c r="A24" s="141">
        <f>A21</f>
        <v>10</v>
      </c>
      <c r="B24" s="141" t="s">
        <v>102</v>
      </c>
      <c r="C24" s="141" t="s">
        <v>174</v>
      </c>
      <c r="D24" s="142">
        <f>D22+D17+D9</f>
        <v>37923842</v>
      </c>
      <c r="E24" s="142">
        <f t="shared" ref="E24:Y24" si="12">E22+E17+E9</f>
        <v>36323842</v>
      </c>
      <c r="F24" s="142">
        <f t="shared" si="12"/>
        <v>1600000</v>
      </c>
      <c r="G24" s="142">
        <f t="shared" si="12"/>
        <v>12963842</v>
      </c>
      <c r="H24" s="142">
        <f t="shared" si="12"/>
        <v>12011098.16</v>
      </c>
      <c r="I24" s="142">
        <f t="shared" si="12"/>
        <v>239762.62</v>
      </c>
      <c r="J24" s="142">
        <f t="shared" si="12"/>
        <v>487200</v>
      </c>
      <c r="K24" s="142">
        <f t="shared" si="12"/>
        <v>726962.62</v>
      </c>
      <c r="L24" s="142">
        <f t="shared" si="12"/>
        <v>12738060.779999999</v>
      </c>
      <c r="M24" s="142">
        <f t="shared" si="12"/>
        <v>4073780.9800000004</v>
      </c>
      <c r="N24" s="142">
        <f t="shared" si="12"/>
        <v>4750000</v>
      </c>
      <c r="O24" s="142">
        <f t="shared" si="12"/>
        <v>16362000.24</v>
      </c>
      <c r="P24" s="142">
        <f t="shared" si="12"/>
        <v>225781.2200000005</v>
      </c>
      <c r="Q24" s="142">
        <f t="shared" si="12"/>
        <v>2650000</v>
      </c>
      <c r="R24" s="142">
        <f t="shared" si="12"/>
        <v>1250000</v>
      </c>
      <c r="S24" s="142">
        <f t="shared" si="12"/>
        <v>3900000</v>
      </c>
      <c r="T24" s="142">
        <f t="shared" si="12"/>
        <v>52000.239999999991</v>
      </c>
      <c r="U24" s="142">
        <f t="shared" si="12"/>
        <v>4697999.76</v>
      </c>
      <c r="V24" s="142">
        <f t="shared" si="12"/>
        <v>2500000</v>
      </c>
      <c r="W24" s="142">
        <f t="shared" si="12"/>
        <v>2197999.7599999998</v>
      </c>
      <c r="X24" s="142">
        <f t="shared" si="12"/>
        <v>0</v>
      </c>
      <c r="Y24" s="142">
        <f t="shared" si="12"/>
        <v>0</v>
      </c>
      <c r="Z24" s="141"/>
      <c r="AA24" s="143"/>
    </row>
    <row r="25" spans="1:27" x14ac:dyDescent="0.25">
      <c r="A25" s="138"/>
      <c r="B25" s="138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>
        <f>D25-L25-M25-N25</f>
        <v>0</v>
      </c>
      <c r="P25" s="139"/>
      <c r="Q25" s="139"/>
      <c r="R25" s="139"/>
      <c r="S25" s="139"/>
      <c r="T25" s="139"/>
      <c r="U25" s="139"/>
      <c r="V25" s="139"/>
      <c r="W25" s="139"/>
      <c r="X25" s="139"/>
      <c r="Y25" s="138"/>
      <c r="Z25" s="138"/>
      <c r="AA25" s="137"/>
    </row>
    <row r="27" spans="1:27" hidden="1" x14ac:dyDescent="0.25"/>
    <row r="28" spans="1:27" hidden="1" x14ac:dyDescent="0.25">
      <c r="P28" s="144" t="s">
        <v>464</v>
      </c>
      <c r="Q28" s="144" t="s">
        <v>476</v>
      </c>
      <c r="R28" s="144">
        <v>250000</v>
      </c>
    </row>
    <row r="29" spans="1:27" hidden="1" x14ac:dyDescent="0.25">
      <c r="Q29" s="144" t="s">
        <v>477</v>
      </c>
      <c r="R29" s="144">
        <v>1000000</v>
      </c>
    </row>
    <row r="30" spans="1:27" hidden="1" x14ac:dyDescent="0.25">
      <c r="R30" s="144">
        <f>SUM(R28:R29)</f>
        <v>1250000</v>
      </c>
    </row>
    <row r="31" spans="1:27" hidden="1" x14ac:dyDescent="0.25"/>
    <row r="32" spans="1:27" hidden="1" x14ac:dyDescent="0.25">
      <c r="P32" s="144" t="s">
        <v>464</v>
      </c>
      <c r="R32" s="144">
        <f>'[1]ריכוז תקציבים מעבר לתוכנית 31.8'!$AD$159</f>
        <v>1250000</v>
      </c>
      <c r="S32" s="144" t="s">
        <v>531</v>
      </c>
    </row>
    <row r="33" spans="1:27" hidden="1" x14ac:dyDescent="0.25">
      <c r="O33" s="144" t="s">
        <v>471</v>
      </c>
      <c r="P33" s="144" t="s">
        <v>223</v>
      </c>
      <c r="Q33" s="144">
        <f>'[1]מיחשוב '!$AY$20</f>
        <v>2650000</v>
      </c>
    </row>
    <row r="34" spans="1:27" hidden="1" x14ac:dyDescent="0.25"/>
    <row r="35" spans="1:27" hidden="1" x14ac:dyDescent="0.25">
      <c r="O35" s="144" t="s">
        <v>524</v>
      </c>
      <c r="Q35" s="144">
        <f>'[5]מיחשוב '!$BC$19</f>
        <v>2080006</v>
      </c>
      <c r="S35" s="144" t="s">
        <v>526</v>
      </c>
    </row>
    <row r="36" spans="1:27" hidden="1" x14ac:dyDescent="0.25">
      <c r="O36" s="144" t="s">
        <v>531</v>
      </c>
      <c r="Q36" s="144">
        <f>Q33-Q35</f>
        <v>569994</v>
      </c>
      <c r="S36" s="144" t="s">
        <v>526</v>
      </c>
    </row>
    <row r="37" spans="1:27" hidden="1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44">
        <f>SUM(Q35:Q36)</f>
        <v>2650000</v>
      </c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</row>
    <row r="42" spans="1:27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</row>
    <row r="43" spans="1:27" x14ac:dyDescent="0.2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</row>
    <row r="44" spans="1:27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</row>
    <row r="45" spans="1:27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</row>
    <row r="46" spans="1:27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</row>
    <row r="47" spans="1:27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</row>
    <row r="48" spans="1:27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</row>
    <row r="51" spans="1:27" x14ac:dyDescent="0.2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</row>
    <row r="52" spans="1:27" x14ac:dyDescent="0.2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</row>
    <row r="53" spans="1:27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</row>
    <row r="54" spans="1:27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</row>
  </sheetData>
  <sortState ref="A8:AG17">
    <sortCondition ref="Z8:Z17"/>
  </sortState>
  <mergeCells count="2">
    <mergeCell ref="A2:W2"/>
    <mergeCell ref="A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8"/>
  <sheetViews>
    <sheetView showZeros="0" rightToLeft="1" zoomScaleNormal="100" workbookViewId="0">
      <pane xSplit="3" ySplit="5" topLeftCell="D12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6.88671875" style="21" customWidth="1"/>
    <col min="4" max="4" width="12.6640625" style="19" customWidth="1"/>
    <col min="5" max="5" width="11.44140625" style="19" customWidth="1"/>
    <col min="6" max="6" width="9.88671875" style="19" customWidth="1"/>
    <col min="7" max="10" width="12.6640625" style="19" hidden="1" customWidth="1"/>
    <col min="11" max="11" width="11.33203125" style="19" hidden="1" customWidth="1"/>
    <col min="12" max="12" width="11" style="19" customWidth="1"/>
    <col min="13" max="14" width="11.109375" style="19" bestFit="1" customWidth="1"/>
    <col min="15" max="15" width="11.109375" style="19" customWidth="1"/>
    <col min="16" max="17" width="11.109375" style="19" hidden="1" customWidth="1"/>
    <col min="18" max="19" width="12" style="19" hidden="1" customWidth="1"/>
    <col min="20" max="20" width="10.33203125" style="19" hidden="1" customWidth="1"/>
    <col min="21" max="21" width="11.88671875" style="21" bestFit="1" customWidth="1"/>
    <col min="22" max="22" width="10.33203125" style="21" customWidth="1"/>
    <col min="23" max="23" width="11.88671875" style="21" customWidth="1"/>
    <col min="24" max="24" width="10.109375" style="21" customWidth="1"/>
    <col min="25" max="25" width="9.6640625" style="21" customWidth="1"/>
    <col min="26" max="26" width="7.88671875" style="21" customWidth="1"/>
    <col min="27" max="16384" width="9.109375" style="21"/>
  </cols>
  <sheetData>
    <row r="2" spans="1:26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</row>
    <row r="3" spans="1:26" ht="18" x14ac:dyDescent="0.35">
      <c r="A3" s="450" t="s">
        <v>271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</row>
    <row r="5" spans="1:26" s="59" customFormat="1" ht="86.2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82" t="s">
        <v>492</v>
      </c>
      <c r="N5" s="4" t="s">
        <v>299</v>
      </c>
      <c r="O5" s="4" t="s">
        <v>300</v>
      </c>
      <c r="P5" s="4" t="s">
        <v>12</v>
      </c>
      <c r="Q5" s="4" t="s">
        <v>301</v>
      </c>
      <c r="R5" s="4" t="s">
        <v>302</v>
      </c>
      <c r="S5" s="4" t="s">
        <v>303</v>
      </c>
      <c r="T5" s="4" t="s">
        <v>304</v>
      </c>
      <c r="U5" s="4" t="s">
        <v>305</v>
      </c>
      <c r="V5" s="4" t="s">
        <v>13</v>
      </c>
      <c r="W5" s="4" t="s">
        <v>14</v>
      </c>
      <c r="X5" s="4" t="s">
        <v>15</v>
      </c>
      <c r="Y5" s="4" t="s">
        <v>223</v>
      </c>
      <c r="Z5" s="4" t="s">
        <v>16</v>
      </c>
    </row>
    <row r="6" spans="1:26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6"/>
      <c r="Z6" s="10"/>
    </row>
    <row r="7" spans="1:26" s="8" customForma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:O23" si="0">D7-L7-M7-N7</f>
        <v>0</v>
      </c>
      <c r="P7" s="7"/>
      <c r="Q7" s="7"/>
      <c r="R7" s="7"/>
      <c r="S7" s="7"/>
      <c r="T7" s="7">
        <f>P7-M7+R7</f>
        <v>0</v>
      </c>
      <c r="U7" s="7">
        <f t="shared" ref="U7:U25" si="1">N7-T7</f>
        <v>0</v>
      </c>
      <c r="V7" s="7"/>
      <c r="W7" s="7"/>
      <c r="X7" s="7"/>
      <c r="Y7" s="6"/>
      <c r="Z7" s="6"/>
    </row>
    <row r="8" spans="1:26" s="8" customFormat="1" x14ac:dyDescent="0.25">
      <c r="A8" s="6">
        <f>1+A7</f>
        <v>1</v>
      </c>
      <c r="B8" s="6">
        <v>470</v>
      </c>
      <c r="C8" s="6" t="s">
        <v>179</v>
      </c>
      <c r="D8" s="7">
        <v>1680000</v>
      </c>
      <c r="E8" s="7">
        <v>1580000</v>
      </c>
      <c r="F8" s="7">
        <f t="shared" ref="F8:F23" si="2">D8-E8</f>
        <v>100000</v>
      </c>
      <c r="G8" s="7">
        <v>1580000</v>
      </c>
      <c r="H8" s="7">
        <v>1548809.43</v>
      </c>
      <c r="I8" s="7"/>
      <c r="J8" s="7"/>
      <c r="K8" s="7">
        <f t="shared" ref="K8:K23" si="3">SUM(I8:J8)</f>
        <v>0</v>
      </c>
      <c r="L8" s="7">
        <f t="shared" ref="L8:L23" si="4">H8+K8</f>
        <v>1548809.43</v>
      </c>
      <c r="M8" s="7">
        <f t="shared" ref="M8:M23" si="5">P8+S8</f>
        <v>31190.570000000065</v>
      </c>
      <c r="N8" s="7">
        <v>100000</v>
      </c>
      <c r="O8" s="7">
        <f t="shared" si="0"/>
        <v>0</v>
      </c>
      <c r="P8" s="7">
        <f t="shared" ref="P8:P23" si="6">G8-L8</f>
        <v>31190.570000000065</v>
      </c>
      <c r="Q8" s="7"/>
      <c r="R8" s="7"/>
      <c r="S8" s="7">
        <f t="shared" ref="S8:S23" si="7">SUM(Q8:R8)</f>
        <v>0</v>
      </c>
      <c r="T8" s="7">
        <f t="shared" ref="T8:T23" si="8">P8-M8+S8</f>
        <v>0</v>
      </c>
      <c r="U8" s="7">
        <f t="shared" si="1"/>
        <v>100000</v>
      </c>
      <c r="V8" s="7">
        <f t="shared" ref="V8:V23" si="9">U8-W8-X8-Y8</f>
        <v>100000</v>
      </c>
      <c r="W8" s="7"/>
      <c r="X8" s="7"/>
      <c r="Y8" s="6"/>
      <c r="Z8" s="6">
        <v>935000</v>
      </c>
    </row>
    <row r="9" spans="1:26" s="8" customFormat="1" x14ac:dyDescent="0.25">
      <c r="A9" s="6">
        <f t="shared" ref="A9:A23" si="10">1+A8</f>
        <v>2</v>
      </c>
      <c r="B9" s="6">
        <v>649</v>
      </c>
      <c r="C9" s="6" t="s">
        <v>180</v>
      </c>
      <c r="D9" s="7">
        <v>70000</v>
      </c>
      <c r="E9" s="7">
        <v>70000</v>
      </c>
      <c r="F9" s="7">
        <f t="shared" si="2"/>
        <v>0</v>
      </c>
      <c r="G9" s="7">
        <v>70000</v>
      </c>
      <c r="H9" s="7">
        <v>43111.48</v>
      </c>
      <c r="I9" s="7"/>
      <c r="J9" s="7"/>
      <c r="K9" s="7">
        <f t="shared" si="3"/>
        <v>0</v>
      </c>
      <c r="L9" s="7">
        <f t="shared" si="4"/>
        <v>43111.48</v>
      </c>
      <c r="M9" s="7">
        <f t="shared" si="5"/>
        <v>26888.519999999997</v>
      </c>
      <c r="N9" s="7"/>
      <c r="O9" s="7">
        <f t="shared" si="0"/>
        <v>0</v>
      </c>
      <c r="P9" s="7">
        <f t="shared" si="6"/>
        <v>26888.519999999997</v>
      </c>
      <c r="Q9" s="7"/>
      <c r="R9" s="7"/>
      <c r="S9" s="7">
        <f t="shared" si="7"/>
        <v>0</v>
      </c>
      <c r="T9" s="7">
        <f t="shared" si="8"/>
        <v>0</v>
      </c>
      <c r="U9" s="7">
        <f t="shared" si="1"/>
        <v>0</v>
      </c>
      <c r="V9" s="7">
        <f t="shared" si="9"/>
        <v>0</v>
      </c>
      <c r="W9" s="7"/>
      <c r="X9" s="7"/>
      <c r="Y9" s="6"/>
      <c r="Z9" s="6">
        <v>930000</v>
      </c>
    </row>
    <row r="10" spans="1:26" s="8" customFormat="1" x14ac:dyDescent="0.25">
      <c r="A10" s="6">
        <f t="shared" si="10"/>
        <v>3</v>
      </c>
      <c r="B10" s="6">
        <v>1066</v>
      </c>
      <c r="C10" s="6" t="s">
        <v>181</v>
      </c>
      <c r="D10" s="7">
        <v>75000</v>
      </c>
      <c r="E10" s="7">
        <v>75000</v>
      </c>
      <c r="F10" s="7">
        <f t="shared" si="2"/>
        <v>0</v>
      </c>
      <c r="G10" s="7">
        <v>75000</v>
      </c>
      <c r="H10" s="7">
        <v>40172</v>
      </c>
      <c r="I10" s="7"/>
      <c r="J10" s="7"/>
      <c r="K10" s="7">
        <f t="shared" si="3"/>
        <v>0</v>
      </c>
      <c r="L10" s="7">
        <f t="shared" si="4"/>
        <v>40172</v>
      </c>
      <c r="M10" s="7">
        <f t="shared" si="5"/>
        <v>34828</v>
      </c>
      <c r="N10" s="7"/>
      <c r="O10" s="7">
        <f t="shared" si="0"/>
        <v>0</v>
      </c>
      <c r="P10" s="7">
        <f t="shared" si="6"/>
        <v>34828</v>
      </c>
      <c r="Q10" s="7"/>
      <c r="R10" s="7"/>
      <c r="S10" s="7">
        <f t="shared" si="7"/>
        <v>0</v>
      </c>
      <c r="T10" s="7">
        <f t="shared" si="8"/>
        <v>0</v>
      </c>
      <c r="U10" s="7">
        <f t="shared" si="1"/>
        <v>0</v>
      </c>
      <c r="V10" s="7">
        <f t="shared" si="9"/>
        <v>0</v>
      </c>
      <c r="W10" s="7"/>
      <c r="X10" s="7"/>
      <c r="Y10" s="6"/>
      <c r="Z10" s="6">
        <v>935000</v>
      </c>
    </row>
    <row r="11" spans="1:26" s="8" customFormat="1" x14ac:dyDescent="0.25">
      <c r="A11" s="6">
        <f t="shared" si="10"/>
        <v>4</v>
      </c>
      <c r="B11" s="6">
        <v>1177</v>
      </c>
      <c r="C11" s="6" t="s">
        <v>182</v>
      </c>
      <c r="D11" s="7">
        <v>41850000</v>
      </c>
      <c r="E11" s="7">
        <v>41850000</v>
      </c>
      <c r="F11" s="7">
        <f t="shared" si="2"/>
        <v>0</v>
      </c>
      <c r="G11" s="7">
        <v>28957000</v>
      </c>
      <c r="H11" s="7">
        <v>26727455.199999999</v>
      </c>
      <c r="I11" s="7"/>
      <c r="J11" s="7"/>
      <c r="K11" s="7">
        <f t="shared" si="3"/>
        <v>0</v>
      </c>
      <c r="L11" s="7">
        <f t="shared" si="4"/>
        <v>26727455.199999999</v>
      </c>
      <c r="M11" s="7">
        <f t="shared" si="5"/>
        <v>2229544.8000000007</v>
      </c>
      <c r="N11" s="7">
        <v>2000000</v>
      </c>
      <c r="O11" s="7">
        <f t="shared" si="0"/>
        <v>10893000</v>
      </c>
      <c r="P11" s="7">
        <f t="shared" si="6"/>
        <v>2229544.8000000007</v>
      </c>
      <c r="Q11" s="7"/>
      <c r="R11" s="7"/>
      <c r="S11" s="7">
        <f t="shared" si="7"/>
        <v>0</v>
      </c>
      <c r="T11" s="7">
        <f t="shared" si="8"/>
        <v>0</v>
      </c>
      <c r="U11" s="7">
        <f t="shared" si="1"/>
        <v>2000000</v>
      </c>
      <c r="V11" s="7">
        <f t="shared" si="9"/>
        <v>2000000</v>
      </c>
      <c r="W11" s="7"/>
      <c r="X11" s="7"/>
      <c r="Y11" s="6"/>
      <c r="Z11" s="6">
        <v>930000</v>
      </c>
    </row>
    <row r="12" spans="1:26" s="8" customFormat="1" x14ac:dyDescent="0.25">
      <c r="A12" s="6">
        <f t="shared" si="10"/>
        <v>5</v>
      </c>
      <c r="B12" s="6">
        <v>1258</v>
      </c>
      <c r="C12" s="6" t="s">
        <v>183</v>
      </c>
      <c r="D12" s="7">
        <v>1400000</v>
      </c>
      <c r="E12" s="7">
        <v>1400000</v>
      </c>
      <c r="F12" s="7">
        <f t="shared" si="2"/>
        <v>0</v>
      </c>
      <c r="G12" s="7">
        <v>900000</v>
      </c>
      <c r="H12" s="7">
        <v>840425.35</v>
      </c>
      <c r="I12" s="7"/>
      <c r="J12" s="7"/>
      <c r="K12" s="7">
        <f t="shared" si="3"/>
        <v>0</v>
      </c>
      <c r="L12" s="7">
        <f t="shared" si="4"/>
        <v>840425.35</v>
      </c>
      <c r="M12" s="7">
        <f t="shared" si="5"/>
        <v>59574.650000000023</v>
      </c>
      <c r="N12" s="7">
        <v>50000</v>
      </c>
      <c r="O12" s="7">
        <f t="shared" si="0"/>
        <v>450000</v>
      </c>
      <c r="P12" s="7">
        <f t="shared" si="6"/>
        <v>59574.650000000023</v>
      </c>
      <c r="Q12" s="7"/>
      <c r="R12" s="7"/>
      <c r="S12" s="7">
        <f t="shared" si="7"/>
        <v>0</v>
      </c>
      <c r="T12" s="7">
        <f t="shared" si="8"/>
        <v>0</v>
      </c>
      <c r="U12" s="7">
        <f t="shared" si="1"/>
        <v>50000</v>
      </c>
      <c r="V12" s="7">
        <f t="shared" si="9"/>
        <v>50000</v>
      </c>
      <c r="W12" s="7"/>
      <c r="X12" s="7"/>
      <c r="Y12" s="6"/>
      <c r="Z12" s="6">
        <v>930000</v>
      </c>
    </row>
    <row r="13" spans="1:26" s="8" customFormat="1" x14ac:dyDescent="0.25">
      <c r="A13" s="6">
        <f t="shared" si="10"/>
        <v>6</v>
      </c>
      <c r="B13" s="6">
        <v>1330</v>
      </c>
      <c r="C13" s="6" t="s">
        <v>184</v>
      </c>
      <c r="D13" s="7">
        <v>60700000</v>
      </c>
      <c r="E13" s="7">
        <v>60700000</v>
      </c>
      <c r="F13" s="7">
        <f t="shared" si="2"/>
        <v>0</v>
      </c>
      <c r="G13" s="7">
        <v>17249825</v>
      </c>
      <c r="H13" s="7">
        <v>3651488.63</v>
      </c>
      <c r="I13" s="7">
        <v>6107</v>
      </c>
      <c r="J13" s="7"/>
      <c r="K13" s="7">
        <f t="shared" si="3"/>
        <v>6107</v>
      </c>
      <c r="L13" s="7">
        <f t="shared" si="4"/>
        <v>3657595.63</v>
      </c>
      <c r="M13" s="7">
        <f t="shared" si="5"/>
        <v>13592229.370000001</v>
      </c>
      <c r="N13" s="7"/>
      <c r="O13" s="7">
        <f t="shared" si="0"/>
        <v>43450175</v>
      </c>
      <c r="P13" s="7">
        <f t="shared" si="6"/>
        <v>13592229.370000001</v>
      </c>
      <c r="Q13" s="7"/>
      <c r="R13" s="7"/>
      <c r="S13" s="7">
        <f t="shared" si="7"/>
        <v>0</v>
      </c>
      <c r="T13" s="7">
        <f t="shared" si="8"/>
        <v>0</v>
      </c>
      <c r="U13" s="7">
        <f t="shared" si="1"/>
        <v>0</v>
      </c>
      <c r="V13" s="7">
        <f t="shared" si="9"/>
        <v>0</v>
      </c>
      <c r="W13" s="7"/>
      <c r="X13" s="7"/>
      <c r="Y13" s="6"/>
      <c r="Z13" s="6">
        <v>930000</v>
      </c>
    </row>
    <row r="14" spans="1:26" s="8" customFormat="1" ht="27.6" x14ac:dyDescent="0.25">
      <c r="A14" s="6">
        <f t="shared" si="10"/>
        <v>7</v>
      </c>
      <c r="B14" s="6">
        <v>1339</v>
      </c>
      <c r="C14" s="6" t="s">
        <v>185</v>
      </c>
      <c r="D14" s="7">
        <v>1250000</v>
      </c>
      <c r="E14" s="7">
        <v>1250000</v>
      </c>
      <c r="F14" s="7">
        <f t="shared" si="2"/>
        <v>0</v>
      </c>
      <c r="G14" s="7">
        <v>1250000</v>
      </c>
      <c r="H14" s="7">
        <v>1218825</v>
      </c>
      <c r="I14" s="7"/>
      <c r="J14" s="7"/>
      <c r="K14" s="7">
        <f t="shared" si="3"/>
        <v>0</v>
      </c>
      <c r="L14" s="7">
        <f t="shared" si="4"/>
        <v>1218825</v>
      </c>
      <c r="M14" s="7">
        <f t="shared" si="5"/>
        <v>31175</v>
      </c>
      <c r="N14" s="7"/>
      <c r="O14" s="7">
        <f t="shared" si="0"/>
        <v>0</v>
      </c>
      <c r="P14" s="7">
        <f t="shared" si="6"/>
        <v>31175</v>
      </c>
      <c r="Q14" s="7"/>
      <c r="R14" s="7"/>
      <c r="S14" s="7">
        <f t="shared" si="7"/>
        <v>0</v>
      </c>
      <c r="T14" s="7">
        <f t="shared" si="8"/>
        <v>0</v>
      </c>
      <c r="U14" s="7">
        <f t="shared" si="1"/>
        <v>0</v>
      </c>
      <c r="V14" s="7">
        <f t="shared" si="9"/>
        <v>0</v>
      </c>
      <c r="W14" s="7"/>
      <c r="X14" s="7"/>
      <c r="Y14" s="6"/>
      <c r="Z14" s="6">
        <v>930000</v>
      </c>
    </row>
    <row r="15" spans="1:26" s="8" customFormat="1" x14ac:dyDescent="0.25">
      <c r="A15" s="6">
        <f t="shared" si="10"/>
        <v>8</v>
      </c>
      <c r="B15" s="6">
        <v>1369</v>
      </c>
      <c r="C15" s="6" t="s">
        <v>186</v>
      </c>
      <c r="D15" s="7">
        <v>1100700</v>
      </c>
      <c r="E15" s="7">
        <v>1100700</v>
      </c>
      <c r="F15" s="7">
        <f t="shared" si="2"/>
        <v>0</v>
      </c>
      <c r="G15" s="7">
        <v>570700</v>
      </c>
      <c r="H15" s="7">
        <v>552097</v>
      </c>
      <c r="I15" s="7"/>
      <c r="J15" s="7"/>
      <c r="K15" s="7">
        <f t="shared" si="3"/>
        <v>0</v>
      </c>
      <c r="L15" s="7">
        <f t="shared" si="4"/>
        <v>552097</v>
      </c>
      <c r="M15" s="7">
        <f t="shared" si="5"/>
        <v>18603</v>
      </c>
      <c r="N15" s="7">
        <v>100000</v>
      </c>
      <c r="O15" s="7">
        <f t="shared" si="0"/>
        <v>430000</v>
      </c>
      <c r="P15" s="7">
        <f t="shared" si="6"/>
        <v>18603</v>
      </c>
      <c r="Q15" s="7"/>
      <c r="R15" s="7"/>
      <c r="S15" s="7">
        <f t="shared" si="7"/>
        <v>0</v>
      </c>
      <c r="T15" s="7">
        <f t="shared" si="8"/>
        <v>0</v>
      </c>
      <c r="U15" s="7">
        <f t="shared" si="1"/>
        <v>100000</v>
      </c>
      <c r="V15" s="7">
        <f t="shared" si="9"/>
        <v>100000</v>
      </c>
      <c r="W15" s="7"/>
      <c r="X15" s="7"/>
      <c r="Y15" s="6"/>
      <c r="Z15" s="6">
        <v>930000</v>
      </c>
    </row>
    <row r="16" spans="1:26" s="8" customFormat="1" x14ac:dyDescent="0.25">
      <c r="A16" s="6">
        <f t="shared" si="10"/>
        <v>9</v>
      </c>
      <c r="B16" s="6">
        <v>1704</v>
      </c>
      <c r="C16" s="6" t="s">
        <v>187</v>
      </c>
      <c r="D16" s="7">
        <v>5784000</v>
      </c>
      <c r="E16" s="7">
        <v>5784000</v>
      </c>
      <c r="F16" s="7">
        <f t="shared" si="2"/>
        <v>0</v>
      </c>
      <c r="G16" s="7">
        <v>5000</v>
      </c>
      <c r="H16" s="7">
        <v>1903.73</v>
      </c>
      <c r="I16" s="7"/>
      <c r="J16" s="7"/>
      <c r="K16" s="7">
        <f t="shared" si="3"/>
        <v>0</v>
      </c>
      <c r="L16" s="7">
        <f t="shared" si="4"/>
        <v>1903.73</v>
      </c>
      <c r="M16" s="7">
        <f t="shared" si="5"/>
        <v>3096.27</v>
      </c>
      <c r="N16" s="7">
        <v>25000</v>
      </c>
      <c r="O16" s="7">
        <f t="shared" si="0"/>
        <v>5754000</v>
      </c>
      <c r="P16" s="7">
        <f t="shared" si="6"/>
        <v>3096.27</v>
      </c>
      <c r="Q16" s="7"/>
      <c r="R16" s="7"/>
      <c r="S16" s="7">
        <f t="shared" si="7"/>
        <v>0</v>
      </c>
      <c r="T16" s="7">
        <f t="shared" si="8"/>
        <v>0</v>
      </c>
      <c r="U16" s="7">
        <f t="shared" si="1"/>
        <v>25000</v>
      </c>
      <c r="V16" s="7">
        <f t="shared" si="9"/>
        <v>25000</v>
      </c>
      <c r="W16" s="7"/>
      <c r="X16" s="7"/>
      <c r="Y16" s="6"/>
      <c r="Z16" s="6">
        <v>930000</v>
      </c>
    </row>
    <row r="17" spans="1:26" s="8" customFormat="1" x14ac:dyDescent="0.25">
      <c r="A17" s="6">
        <f t="shared" si="10"/>
        <v>10</v>
      </c>
      <c r="B17" s="6">
        <v>1715</v>
      </c>
      <c r="C17" s="6" t="s">
        <v>188</v>
      </c>
      <c r="D17" s="7">
        <v>8645000</v>
      </c>
      <c r="E17" s="7">
        <v>8645000</v>
      </c>
      <c r="F17" s="7">
        <f t="shared" si="2"/>
        <v>0</v>
      </c>
      <c r="G17" s="7">
        <v>8150000</v>
      </c>
      <c r="H17" s="7">
        <v>8130200</v>
      </c>
      <c r="I17" s="7"/>
      <c r="J17" s="7"/>
      <c r="K17" s="7">
        <f t="shared" si="3"/>
        <v>0</v>
      </c>
      <c r="L17" s="7">
        <f t="shared" si="4"/>
        <v>8130200</v>
      </c>
      <c r="M17" s="7">
        <f t="shared" si="5"/>
        <v>19800</v>
      </c>
      <c r="N17" s="7"/>
      <c r="O17" s="7">
        <f t="shared" si="0"/>
        <v>495000</v>
      </c>
      <c r="P17" s="7">
        <f t="shared" si="6"/>
        <v>19800</v>
      </c>
      <c r="Q17" s="7"/>
      <c r="R17" s="7"/>
      <c r="S17" s="7">
        <f t="shared" si="7"/>
        <v>0</v>
      </c>
      <c r="T17" s="7">
        <f t="shared" si="8"/>
        <v>0</v>
      </c>
      <c r="U17" s="7">
        <f t="shared" si="1"/>
        <v>0</v>
      </c>
      <c r="V17" s="7">
        <f t="shared" si="9"/>
        <v>0</v>
      </c>
      <c r="W17" s="7"/>
      <c r="X17" s="7"/>
      <c r="Y17" s="6"/>
      <c r="Z17" s="6">
        <v>930000</v>
      </c>
    </row>
    <row r="18" spans="1:26" s="8" customFormat="1" x14ac:dyDescent="0.25">
      <c r="A18" s="6">
        <f t="shared" si="10"/>
        <v>11</v>
      </c>
      <c r="B18" s="6">
        <v>1791</v>
      </c>
      <c r="C18" s="6" t="s">
        <v>189</v>
      </c>
      <c r="D18" s="7">
        <v>570000</v>
      </c>
      <c r="E18" s="7">
        <v>500000</v>
      </c>
      <c r="F18" s="7">
        <f t="shared" si="2"/>
        <v>70000</v>
      </c>
      <c r="G18" s="7">
        <v>500000</v>
      </c>
      <c r="H18" s="7">
        <v>104150</v>
      </c>
      <c r="I18" s="7"/>
      <c r="J18" s="7"/>
      <c r="K18" s="7">
        <f t="shared" si="3"/>
        <v>0</v>
      </c>
      <c r="L18" s="7">
        <f t="shared" si="4"/>
        <v>104150</v>
      </c>
      <c r="M18" s="7">
        <f t="shared" si="5"/>
        <v>395850</v>
      </c>
      <c r="N18" s="7">
        <v>70000</v>
      </c>
      <c r="O18" s="7">
        <f t="shared" si="0"/>
        <v>0</v>
      </c>
      <c r="P18" s="7">
        <f t="shared" si="6"/>
        <v>395850</v>
      </c>
      <c r="Q18" s="7"/>
      <c r="R18" s="7"/>
      <c r="S18" s="7">
        <f t="shared" si="7"/>
        <v>0</v>
      </c>
      <c r="T18" s="7">
        <f t="shared" si="8"/>
        <v>0</v>
      </c>
      <c r="U18" s="7">
        <f t="shared" si="1"/>
        <v>70000</v>
      </c>
      <c r="V18" s="7">
        <f t="shared" si="9"/>
        <v>70000</v>
      </c>
      <c r="W18" s="7"/>
      <c r="X18" s="7"/>
      <c r="Y18" s="6"/>
      <c r="Z18" s="6">
        <v>930000</v>
      </c>
    </row>
    <row r="19" spans="1:26" s="8" customFormat="1" x14ac:dyDescent="0.25">
      <c r="A19" s="6">
        <f t="shared" si="10"/>
        <v>12</v>
      </c>
      <c r="B19" s="6">
        <v>1801</v>
      </c>
      <c r="C19" s="6" t="s">
        <v>296</v>
      </c>
      <c r="D19" s="7">
        <v>36000000</v>
      </c>
      <c r="E19" s="7">
        <v>36000000</v>
      </c>
      <c r="F19" s="7">
        <f t="shared" si="2"/>
        <v>0</v>
      </c>
      <c r="G19" s="7">
        <v>36000000</v>
      </c>
      <c r="H19" s="7">
        <v>30345661.890000001</v>
      </c>
      <c r="I19" s="7"/>
      <c r="J19" s="7"/>
      <c r="K19" s="7">
        <f t="shared" si="3"/>
        <v>0</v>
      </c>
      <c r="L19" s="7">
        <f t="shared" si="4"/>
        <v>30345661.890000001</v>
      </c>
      <c r="M19" s="7">
        <f t="shared" si="5"/>
        <v>5654338.1099999994</v>
      </c>
      <c r="N19" s="7"/>
      <c r="O19" s="7">
        <f t="shared" si="0"/>
        <v>0</v>
      </c>
      <c r="P19" s="7">
        <f t="shared" si="6"/>
        <v>5654338.1099999994</v>
      </c>
      <c r="Q19" s="7"/>
      <c r="R19" s="7"/>
      <c r="S19" s="7">
        <f t="shared" si="7"/>
        <v>0</v>
      </c>
      <c r="T19" s="7">
        <f t="shared" si="8"/>
        <v>0</v>
      </c>
      <c r="U19" s="7">
        <f t="shared" si="1"/>
        <v>0</v>
      </c>
      <c r="V19" s="7">
        <f t="shared" si="9"/>
        <v>0</v>
      </c>
      <c r="W19" s="7"/>
      <c r="X19" s="7"/>
      <c r="Y19" s="6"/>
      <c r="Z19" s="6">
        <v>930000</v>
      </c>
    </row>
    <row r="20" spans="1:26" s="8" customFormat="1" x14ac:dyDescent="0.25">
      <c r="A20" s="6">
        <f t="shared" si="10"/>
        <v>13</v>
      </c>
      <c r="B20" s="6">
        <v>1816</v>
      </c>
      <c r="C20" s="6" t="s">
        <v>297</v>
      </c>
      <c r="D20" s="7">
        <v>565000</v>
      </c>
      <c r="E20" s="7">
        <v>565000</v>
      </c>
      <c r="F20" s="7">
        <f t="shared" si="2"/>
        <v>0</v>
      </c>
      <c r="G20" s="7">
        <v>565000</v>
      </c>
      <c r="H20" s="7">
        <v>400000</v>
      </c>
      <c r="I20" s="7"/>
      <c r="J20" s="7"/>
      <c r="K20" s="7">
        <f t="shared" si="3"/>
        <v>0</v>
      </c>
      <c r="L20" s="7">
        <f t="shared" si="4"/>
        <v>400000</v>
      </c>
      <c r="M20" s="7">
        <f t="shared" si="5"/>
        <v>165000</v>
      </c>
      <c r="N20" s="7"/>
      <c r="O20" s="7">
        <f t="shared" si="0"/>
        <v>0</v>
      </c>
      <c r="P20" s="7">
        <f t="shared" si="6"/>
        <v>165000</v>
      </c>
      <c r="Q20" s="7"/>
      <c r="R20" s="7"/>
      <c r="S20" s="7">
        <f t="shared" si="7"/>
        <v>0</v>
      </c>
      <c r="T20" s="7">
        <f t="shared" si="8"/>
        <v>0</v>
      </c>
      <c r="U20" s="7">
        <f t="shared" si="1"/>
        <v>0</v>
      </c>
      <c r="V20" s="7">
        <f t="shared" si="9"/>
        <v>0</v>
      </c>
      <c r="W20" s="7"/>
      <c r="X20" s="7"/>
      <c r="Y20" s="6"/>
      <c r="Z20" s="6">
        <v>930000</v>
      </c>
    </row>
    <row r="21" spans="1:26" s="8" customFormat="1" x14ac:dyDescent="0.25">
      <c r="A21" s="6">
        <f>1+A20</f>
        <v>14</v>
      </c>
      <c r="B21" s="6">
        <v>1983</v>
      </c>
      <c r="C21" s="6" t="s">
        <v>478</v>
      </c>
      <c r="D21" s="7">
        <v>800000</v>
      </c>
      <c r="E21" s="7"/>
      <c r="F21" s="7">
        <f t="shared" si="2"/>
        <v>800000</v>
      </c>
      <c r="G21" s="7"/>
      <c r="H21" s="7"/>
      <c r="I21" s="7"/>
      <c r="J21" s="7"/>
      <c r="K21" s="7">
        <f t="shared" si="3"/>
        <v>0</v>
      </c>
      <c r="L21" s="7">
        <f t="shared" si="4"/>
        <v>0</v>
      </c>
      <c r="M21" s="7">
        <f t="shared" si="5"/>
        <v>0</v>
      </c>
      <c r="N21" s="7">
        <v>100000</v>
      </c>
      <c r="O21" s="7">
        <f t="shared" si="0"/>
        <v>700000</v>
      </c>
      <c r="P21" s="7">
        <f t="shared" si="6"/>
        <v>0</v>
      </c>
      <c r="Q21" s="7"/>
      <c r="R21" s="7"/>
      <c r="S21" s="7">
        <f t="shared" si="7"/>
        <v>0</v>
      </c>
      <c r="T21" s="7">
        <f t="shared" si="8"/>
        <v>0</v>
      </c>
      <c r="U21" s="7">
        <f t="shared" si="1"/>
        <v>100000</v>
      </c>
      <c r="V21" s="7">
        <f t="shared" si="9"/>
        <v>100000</v>
      </c>
      <c r="W21" s="7"/>
      <c r="X21" s="7"/>
      <c r="Y21" s="6"/>
      <c r="Z21" s="6">
        <v>930000</v>
      </c>
    </row>
    <row r="22" spans="1:26" s="8" customFormat="1" x14ac:dyDescent="0.25">
      <c r="A22" s="6">
        <f t="shared" si="10"/>
        <v>15</v>
      </c>
      <c r="B22" s="6">
        <v>1984</v>
      </c>
      <c r="C22" s="6" t="s">
        <v>479</v>
      </c>
      <c r="D22" s="7">
        <v>450000</v>
      </c>
      <c r="E22" s="7"/>
      <c r="F22" s="7">
        <f t="shared" si="2"/>
        <v>450000</v>
      </c>
      <c r="G22" s="7"/>
      <c r="H22" s="7"/>
      <c r="I22" s="7"/>
      <c r="J22" s="7"/>
      <c r="K22" s="7">
        <f t="shared" si="3"/>
        <v>0</v>
      </c>
      <c r="L22" s="7">
        <f t="shared" si="4"/>
        <v>0</v>
      </c>
      <c r="M22" s="7">
        <f t="shared" si="5"/>
        <v>0</v>
      </c>
      <c r="N22" s="7">
        <v>100000</v>
      </c>
      <c r="O22" s="7">
        <f t="shared" si="0"/>
        <v>350000</v>
      </c>
      <c r="P22" s="7">
        <f t="shared" si="6"/>
        <v>0</v>
      </c>
      <c r="Q22" s="7"/>
      <c r="R22" s="7"/>
      <c r="S22" s="7">
        <f t="shared" si="7"/>
        <v>0</v>
      </c>
      <c r="T22" s="7">
        <f t="shared" si="8"/>
        <v>0</v>
      </c>
      <c r="U22" s="7">
        <f t="shared" si="1"/>
        <v>100000</v>
      </c>
      <c r="V22" s="7">
        <f t="shared" si="9"/>
        <v>100000</v>
      </c>
      <c r="W22" s="7"/>
      <c r="X22" s="7"/>
      <c r="Y22" s="6"/>
      <c r="Z22" s="6">
        <v>930000</v>
      </c>
    </row>
    <row r="23" spans="1:26" s="8" customFormat="1" x14ac:dyDescent="0.25">
      <c r="A23" s="6">
        <f t="shared" si="10"/>
        <v>16</v>
      </c>
      <c r="B23" s="6">
        <v>1985</v>
      </c>
      <c r="C23" s="6" t="s">
        <v>480</v>
      </c>
      <c r="D23" s="7">
        <v>600000</v>
      </c>
      <c r="E23" s="7"/>
      <c r="F23" s="7">
        <f t="shared" si="2"/>
        <v>600000</v>
      </c>
      <c r="G23" s="7"/>
      <c r="H23" s="7"/>
      <c r="I23" s="7"/>
      <c r="J23" s="7"/>
      <c r="K23" s="7">
        <f t="shared" si="3"/>
        <v>0</v>
      </c>
      <c r="L23" s="7">
        <f t="shared" si="4"/>
        <v>0</v>
      </c>
      <c r="M23" s="7">
        <f t="shared" si="5"/>
        <v>0</v>
      </c>
      <c r="N23" s="7">
        <v>100000</v>
      </c>
      <c r="O23" s="7">
        <f t="shared" si="0"/>
        <v>500000</v>
      </c>
      <c r="P23" s="7">
        <f t="shared" si="6"/>
        <v>0</v>
      </c>
      <c r="Q23" s="7"/>
      <c r="R23" s="7"/>
      <c r="S23" s="7">
        <f t="shared" si="7"/>
        <v>0</v>
      </c>
      <c r="T23" s="7">
        <f t="shared" si="8"/>
        <v>0</v>
      </c>
      <c r="U23" s="7">
        <f t="shared" si="1"/>
        <v>100000</v>
      </c>
      <c r="V23" s="7">
        <f t="shared" si="9"/>
        <v>100000</v>
      </c>
      <c r="W23" s="7"/>
      <c r="X23" s="7"/>
      <c r="Y23" s="6"/>
      <c r="Z23" s="6">
        <v>930000</v>
      </c>
    </row>
    <row r="24" spans="1:26" s="13" customFormat="1" ht="15.6" x14ac:dyDescent="0.25">
      <c r="A24" s="11">
        <f>A23</f>
        <v>16</v>
      </c>
      <c r="B24" s="11" t="s">
        <v>102</v>
      </c>
      <c r="C24" s="11" t="s">
        <v>190</v>
      </c>
      <c r="D24" s="12">
        <f>SUM(D8:D23)</f>
        <v>161539700</v>
      </c>
      <c r="E24" s="12">
        <f t="shared" ref="E24:Y24" si="11">SUM(E8:E23)</f>
        <v>159519700</v>
      </c>
      <c r="F24" s="12">
        <f t="shared" si="11"/>
        <v>2020000</v>
      </c>
      <c r="G24" s="12">
        <f t="shared" si="11"/>
        <v>95872525</v>
      </c>
      <c r="H24" s="12">
        <f t="shared" si="11"/>
        <v>73604299.710000008</v>
      </c>
      <c r="I24" s="12">
        <f t="shared" si="11"/>
        <v>6107</v>
      </c>
      <c r="J24" s="12">
        <f t="shared" si="11"/>
        <v>0</v>
      </c>
      <c r="K24" s="12">
        <f t="shared" si="11"/>
        <v>6107</v>
      </c>
      <c r="L24" s="12">
        <f t="shared" si="11"/>
        <v>73610406.710000008</v>
      </c>
      <c r="M24" s="12">
        <f t="shared" si="11"/>
        <v>22262118.289999999</v>
      </c>
      <c r="N24" s="12">
        <f t="shared" si="11"/>
        <v>2645000</v>
      </c>
      <c r="O24" s="12">
        <f t="shared" si="11"/>
        <v>63022175</v>
      </c>
      <c r="P24" s="12">
        <f t="shared" si="11"/>
        <v>22262118.289999999</v>
      </c>
      <c r="Q24" s="12">
        <f t="shared" si="11"/>
        <v>0</v>
      </c>
      <c r="R24" s="12">
        <f t="shared" si="11"/>
        <v>0</v>
      </c>
      <c r="S24" s="12">
        <f t="shared" si="11"/>
        <v>0</v>
      </c>
      <c r="T24" s="12">
        <f t="shared" si="11"/>
        <v>0</v>
      </c>
      <c r="U24" s="12">
        <f t="shared" si="11"/>
        <v>2645000</v>
      </c>
      <c r="V24" s="12">
        <f t="shared" si="11"/>
        <v>2645000</v>
      </c>
      <c r="W24" s="12">
        <f t="shared" si="11"/>
        <v>0</v>
      </c>
      <c r="X24" s="12">
        <f t="shared" si="11"/>
        <v>0</v>
      </c>
      <c r="Y24" s="12">
        <f t="shared" si="11"/>
        <v>0</v>
      </c>
      <c r="Z24" s="11"/>
    </row>
    <row r="25" spans="1:26" s="8" customFormat="1" x14ac:dyDescent="0.25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f>D25-L25-M25-N25</f>
        <v>0</v>
      </c>
      <c r="P25" s="7"/>
      <c r="Q25" s="7"/>
      <c r="R25" s="7"/>
      <c r="S25" s="7"/>
      <c r="T25" s="7">
        <f>P25-M25+R25</f>
        <v>0</v>
      </c>
      <c r="U25" s="7">
        <f t="shared" si="1"/>
        <v>0</v>
      </c>
      <c r="V25" s="7"/>
      <c r="W25" s="7"/>
      <c r="X25" s="7"/>
      <c r="Y25" s="6"/>
      <c r="Z25" s="6"/>
    </row>
    <row r="28" spans="1:26" x14ac:dyDescent="0.25">
      <c r="L28" s="68">
        <f>K24+H24</f>
        <v>73610406.710000008</v>
      </c>
      <c r="M28" s="68">
        <f>L24+P24</f>
        <v>95872525</v>
      </c>
      <c r="P28" s="68">
        <f>G24-L24</f>
        <v>22262118.289999992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X2"/>
    <mergeCell ref="A3:X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E23"/>
  <sheetViews>
    <sheetView showZeros="0" rightToLeft="1" zoomScaleNormal="100" workbookViewId="0">
      <pane xSplit="3" ySplit="5" topLeftCell="D6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ColWidth="9.109375" defaultRowHeight="13.8" x14ac:dyDescent="0.25"/>
  <cols>
    <col min="1" max="1" width="5.33203125" style="81" customWidth="1"/>
    <col min="2" max="2" width="6.6640625" style="80" customWidth="1"/>
    <col min="3" max="3" width="36.109375" style="80" customWidth="1"/>
    <col min="4" max="4" width="11" style="105" customWidth="1"/>
    <col min="5" max="5" width="10.88671875" style="105" customWidth="1"/>
    <col min="6" max="6" width="10.33203125" style="105" customWidth="1"/>
    <col min="7" max="10" width="12.6640625" style="105" hidden="1" customWidth="1"/>
    <col min="11" max="11" width="11.33203125" style="105" hidden="1" customWidth="1"/>
    <col min="12" max="12" width="10.6640625" style="105" customWidth="1"/>
    <col min="13" max="13" width="10.88671875" style="105" customWidth="1"/>
    <col min="14" max="14" width="11.109375" style="105" bestFit="1" customWidth="1"/>
    <col min="15" max="15" width="11.109375" style="105" customWidth="1"/>
    <col min="16" max="17" width="11.109375" style="105" hidden="1" customWidth="1"/>
    <col min="18" max="19" width="12" style="105" hidden="1" customWidth="1"/>
    <col min="20" max="20" width="8.44140625" style="105" hidden="1" customWidth="1"/>
    <col min="21" max="21" width="11.88671875" style="80" bestFit="1" customWidth="1"/>
    <col min="22" max="22" width="10.33203125" style="80" bestFit="1" customWidth="1"/>
    <col min="23" max="23" width="9.5546875" style="80" customWidth="1"/>
    <col min="24" max="24" width="9" style="80" hidden="1" customWidth="1"/>
    <col min="25" max="25" width="11.109375" style="80" customWidth="1"/>
    <col min="26" max="26" width="7.88671875" style="80" customWidth="1"/>
    <col min="27" max="16384" width="9.109375" style="80"/>
  </cols>
  <sheetData>
    <row r="2" spans="1:26" s="79" customFormat="1" ht="18" x14ac:dyDescent="0.35">
      <c r="A2" s="451" t="s">
        <v>298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</row>
    <row r="3" spans="1:26" ht="18" x14ac:dyDescent="0.35">
      <c r="A3" s="451" t="s">
        <v>272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</row>
    <row r="5" spans="1:26" s="83" customFormat="1" ht="86.25" customHeight="1" x14ac:dyDescent="0.25">
      <c r="A5" s="82" t="s">
        <v>0</v>
      </c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82" t="s">
        <v>7</v>
      </c>
      <c r="I5" s="82" t="s">
        <v>8</v>
      </c>
      <c r="J5" s="82" t="s">
        <v>9</v>
      </c>
      <c r="K5" s="82" t="s">
        <v>10</v>
      </c>
      <c r="L5" s="82" t="s">
        <v>11</v>
      </c>
      <c r="M5" s="82" t="s">
        <v>492</v>
      </c>
      <c r="N5" s="82" t="s">
        <v>299</v>
      </c>
      <c r="O5" s="82" t="s">
        <v>300</v>
      </c>
      <c r="P5" s="82" t="s">
        <v>12</v>
      </c>
      <c r="Q5" s="82" t="s">
        <v>301</v>
      </c>
      <c r="R5" s="82" t="s">
        <v>302</v>
      </c>
      <c r="S5" s="82" t="s">
        <v>303</v>
      </c>
      <c r="T5" s="82" t="s">
        <v>304</v>
      </c>
      <c r="U5" s="82" t="s">
        <v>305</v>
      </c>
      <c r="V5" s="82" t="s">
        <v>13</v>
      </c>
      <c r="W5" s="82" t="s">
        <v>14</v>
      </c>
      <c r="X5" s="82" t="s">
        <v>15</v>
      </c>
      <c r="Y5" s="82" t="s">
        <v>223</v>
      </c>
      <c r="Z5" s="82" t="s">
        <v>16</v>
      </c>
    </row>
    <row r="6" spans="1:26" s="87" customFormat="1" x14ac:dyDescent="0.25">
      <c r="A6" s="84"/>
      <c r="B6" s="84"/>
      <c r="C6" s="84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5"/>
    </row>
    <row r="7" spans="1:26" s="87" customFormat="1" x14ac:dyDescent="0.25">
      <c r="A7" s="84">
        <v>1</v>
      </c>
      <c r="B7" s="84">
        <v>529</v>
      </c>
      <c r="C7" s="84" t="s">
        <v>175</v>
      </c>
      <c r="D7" s="88">
        <f>500000+50000</f>
        <v>550000</v>
      </c>
      <c r="E7" s="88">
        <v>500000</v>
      </c>
      <c r="F7" s="88">
        <f>D7-E7</f>
        <v>50000</v>
      </c>
      <c r="G7" s="88">
        <v>450000</v>
      </c>
      <c r="H7" s="88">
        <v>344087.43</v>
      </c>
      <c r="I7" s="88"/>
      <c r="J7" s="88"/>
      <c r="K7" s="88">
        <f>SUM(I7:J7)</f>
        <v>0</v>
      </c>
      <c r="L7" s="88">
        <f>H7+K7</f>
        <v>344087.43</v>
      </c>
      <c r="M7" s="88">
        <f>P7+S7</f>
        <v>155912.57</v>
      </c>
      <c r="N7" s="88">
        <v>50000</v>
      </c>
      <c r="O7" s="88">
        <f>D7-L7-M7-N7</f>
        <v>0</v>
      </c>
      <c r="P7" s="88">
        <f>G7-L7</f>
        <v>105912.57</v>
      </c>
      <c r="Q7" s="149">
        <v>50000</v>
      </c>
      <c r="R7" s="88"/>
      <c r="S7" s="88">
        <f>SUM(Q7:R7)</f>
        <v>50000</v>
      </c>
      <c r="T7" s="88">
        <f>P7-M7+S7</f>
        <v>0</v>
      </c>
      <c r="U7" s="88">
        <f t="shared" ref="U7:U15" si="0">N7-T7</f>
        <v>50000</v>
      </c>
      <c r="V7" s="88">
        <f>U7-W7-X7-Y7</f>
        <v>50000</v>
      </c>
      <c r="W7" s="88"/>
      <c r="X7" s="88"/>
      <c r="Y7" s="88"/>
      <c r="Z7" s="84">
        <v>764000</v>
      </c>
    </row>
    <row r="8" spans="1:26" s="120" customFormat="1" ht="15.6" x14ac:dyDescent="0.25">
      <c r="A8" s="28"/>
      <c r="B8" s="28"/>
      <c r="C8" s="28">
        <v>76</v>
      </c>
      <c r="D8" s="101">
        <f>SUM(D7)</f>
        <v>550000</v>
      </c>
      <c r="E8" s="101">
        <f t="shared" ref="E8:Y8" si="1">SUM(E7)</f>
        <v>500000</v>
      </c>
      <c r="F8" s="101">
        <f t="shared" si="1"/>
        <v>50000</v>
      </c>
      <c r="G8" s="101">
        <f t="shared" si="1"/>
        <v>450000</v>
      </c>
      <c r="H8" s="101">
        <f t="shared" si="1"/>
        <v>344087.43</v>
      </c>
      <c r="I8" s="101">
        <f t="shared" si="1"/>
        <v>0</v>
      </c>
      <c r="J8" s="101">
        <f t="shared" si="1"/>
        <v>0</v>
      </c>
      <c r="K8" s="101">
        <f t="shared" si="1"/>
        <v>0</v>
      </c>
      <c r="L8" s="101">
        <f t="shared" si="1"/>
        <v>344087.43</v>
      </c>
      <c r="M8" s="101">
        <f t="shared" si="1"/>
        <v>155912.57</v>
      </c>
      <c r="N8" s="101">
        <f t="shared" si="1"/>
        <v>50000</v>
      </c>
      <c r="O8" s="101">
        <f t="shared" si="1"/>
        <v>0</v>
      </c>
      <c r="P8" s="101">
        <f t="shared" si="1"/>
        <v>105912.57</v>
      </c>
      <c r="Q8" s="101">
        <f t="shared" si="1"/>
        <v>50000</v>
      </c>
      <c r="R8" s="101">
        <f t="shared" si="1"/>
        <v>0</v>
      </c>
      <c r="S8" s="101">
        <f t="shared" si="1"/>
        <v>50000</v>
      </c>
      <c r="T8" s="101">
        <f t="shared" si="1"/>
        <v>0</v>
      </c>
      <c r="U8" s="101">
        <f t="shared" si="1"/>
        <v>50000</v>
      </c>
      <c r="V8" s="101">
        <f t="shared" si="1"/>
        <v>50000</v>
      </c>
      <c r="W8" s="101">
        <f t="shared" si="1"/>
        <v>0</v>
      </c>
      <c r="X8" s="101">
        <f t="shared" si="1"/>
        <v>0</v>
      </c>
      <c r="Y8" s="101">
        <f t="shared" si="1"/>
        <v>0</v>
      </c>
      <c r="Z8" s="28"/>
    </row>
    <row r="9" spans="1:26" s="87" customFormat="1" x14ac:dyDescent="0.25">
      <c r="A9" s="84"/>
      <c r="B9" s="84"/>
      <c r="C9" s="84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149"/>
      <c r="R9" s="88"/>
      <c r="S9" s="88"/>
      <c r="T9" s="88"/>
      <c r="U9" s="88"/>
      <c r="V9" s="88"/>
      <c r="W9" s="88"/>
      <c r="X9" s="88"/>
      <c r="Y9" s="88"/>
      <c r="Z9" s="84"/>
    </row>
    <row r="10" spans="1:26" s="87" customFormat="1" x14ac:dyDescent="0.25">
      <c r="A10" s="84">
        <f>A7+1</f>
        <v>2</v>
      </c>
      <c r="B10" s="93">
        <v>1209</v>
      </c>
      <c r="C10" s="93" t="s">
        <v>176</v>
      </c>
      <c r="D10" s="88">
        <f>3000000-2060000</f>
        <v>940000</v>
      </c>
      <c r="E10" s="88">
        <v>3000000</v>
      </c>
      <c r="F10" s="88">
        <f>D10-E10</f>
        <v>-2060000</v>
      </c>
      <c r="G10" s="88">
        <v>940000</v>
      </c>
      <c r="H10" s="88">
        <v>912429</v>
      </c>
      <c r="I10" s="88"/>
      <c r="J10" s="88"/>
      <c r="K10" s="88">
        <f>SUM(I10:J10)</f>
        <v>0</v>
      </c>
      <c r="L10" s="88">
        <f>H10+K10</f>
        <v>912429</v>
      </c>
      <c r="M10" s="88">
        <f>P10+S10</f>
        <v>27571</v>
      </c>
      <c r="N10" s="88"/>
      <c r="O10" s="88">
        <f>D10-L10-M10-N10</f>
        <v>0</v>
      </c>
      <c r="P10" s="88">
        <f>G10-L10</f>
        <v>27571</v>
      </c>
      <c r="Q10" s="88"/>
      <c r="R10" s="88"/>
      <c r="S10" s="88">
        <f>SUM(Q10:R10)</f>
        <v>0</v>
      </c>
      <c r="T10" s="88">
        <f>P10-M10+S10</f>
        <v>0</v>
      </c>
      <c r="U10" s="88">
        <f t="shared" si="0"/>
        <v>0</v>
      </c>
      <c r="V10" s="88">
        <f>U10-W10-X10-Y10</f>
        <v>0</v>
      </c>
      <c r="W10" s="88"/>
      <c r="X10" s="88"/>
      <c r="Y10" s="88"/>
      <c r="Z10" s="84">
        <v>870000</v>
      </c>
    </row>
    <row r="11" spans="1:26" s="87" customFormat="1" ht="16.95" customHeight="1" x14ac:dyDescent="0.25">
      <c r="A11" s="84">
        <v>3</v>
      </c>
      <c r="B11" s="84">
        <v>1210</v>
      </c>
      <c r="C11" s="84" t="s">
        <v>177</v>
      </c>
      <c r="D11" s="88">
        <f>93900000-16900000</f>
        <v>77000000</v>
      </c>
      <c r="E11" s="88">
        <v>77000000</v>
      </c>
      <c r="F11" s="88">
        <f>D11-E11</f>
        <v>0</v>
      </c>
      <c r="G11" s="88">
        <v>53900000</v>
      </c>
      <c r="H11" s="88">
        <v>52825241</v>
      </c>
      <c r="I11" s="88"/>
      <c r="J11" s="88"/>
      <c r="K11" s="88">
        <f>SUM(I11:J11)</f>
        <v>0</v>
      </c>
      <c r="L11" s="88">
        <f>H11+K11</f>
        <v>52825241</v>
      </c>
      <c r="M11" s="88">
        <f>P11+S11</f>
        <v>4424759</v>
      </c>
      <c r="N11" s="88">
        <v>11500000</v>
      </c>
      <c r="O11" s="88">
        <f>D11-L11-M11-N11</f>
        <v>8250000</v>
      </c>
      <c r="P11" s="88">
        <f>G11-L11</f>
        <v>1074759</v>
      </c>
      <c r="Q11" s="151">
        <v>3350000</v>
      </c>
      <c r="R11" s="88"/>
      <c r="S11" s="88">
        <f>SUM(Q11:R11)</f>
        <v>3350000</v>
      </c>
      <c r="T11" s="88">
        <f>P11-M11+S11</f>
        <v>0</v>
      </c>
      <c r="U11" s="88">
        <f t="shared" si="0"/>
        <v>11500000</v>
      </c>
      <c r="V11" s="88">
        <f>U11-W11-X11-Y11</f>
        <v>0</v>
      </c>
      <c r="W11" s="88"/>
      <c r="X11" s="88"/>
      <c r="Y11" s="88">
        <v>11500000</v>
      </c>
      <c r="Z11" s="84">
        <v>870000</v>
      </c>
    </row>
    <row r="12" spans="1:26" s="92" customFormat="1" ht="16.95" customHeight="1" x14ac:dyDescent="0.25">
      <c r="A12" s="90"/>
      <c r="B12" s="90"/>
      <c r="C12" s="90" t="s">
        <v>760</v>
      </c>
      <c r="D12" s="91">
        <f>SUM(D10:D11)</f>
        <v>77940000</v>
      </c>
      <c r="E12" s="91">
        <f t="shared" ref="E12:Y12" si="2">SUM(E10:E11)</f>
        <v>80000000</v>
      </c>
      <c r="F12" s="91">
        <f t="shared" si="2"/>
        <v>-2060000</v>
      </c>
      <c r="G12" s="91">
        <f t="shared" si="2"/>
        <v>54840000</v>
      </c>
      <c r="H12" s="91">
        <f t="shared" si="2"/>
        <v>53737670</v>
      </c>
      <c r="I12" s="91">
        <f t="shared" si="2"/>
        <v>0</v>
      </c>
      <c r="J12" s="91">
        <f t="shared" si="2"/>
        <v>0</v>
      </c>
      <c r="K12" s="91">
        <f t="shared" si="2"/>
        <v>0</v>
      </c>
      <c r="L12" s="91">
        <f t="shared" si="2"/>
        <v>53737670</v>
      </c>
      <c r="M12" s="91">
        <f t="shared" si="2"/>
        <v>4452330</v>
      </c>
      <c r="N12" s="91">
        <f t="shared" si="2"/>
        <v>11500000</v>
      </c>
      <c r="O12" s="91">
        <f t="shared" si="2"/>
        <v>8250000</v>
      </c>
      <c r="P12" s="91">
        <f t="shared" si="2"/>
        <v>1102330</v>
      </c>
      <c r="Q12" s="91">
        <f t="shared" si="2"/>
        <v>3350000</v>
      </c>
      <c r="R12" s="91">
        <f t="shared" si="2"/>
        <v>0</v>
      </c>
      <c r="S12" s="91">
        <f t="shared" si="2"/>
        <v>3350000</v>
      </c>
      <c r="T12" s="91">
        <f t="shared" si="2"/>
        <v>0</v>
      </c>
      <c r="U12" s="91">
        <f t="shared" si="2"/>
        <v>11500000</v>
      </c>
      <c r="V12" s="91">
        <f t="shared" si="2"/>
        <v>0</v>
      </c>
      <c r="W12" s="91">
        <f t="shared" si="2"/>
        <v>0</v>
      </c>
      <c r="X12" s="91">
        <f t="shared" si="2"/>
        <v>0</v>
      </c>
      <c r="Y12" s="91">
        <f t="shared" si="2"/>
        <v>11500000</v>
      </c>
      <c r="Z12" s="90"/>
    </row>
    <row r="13" spans="1:26" s="87" customFormat="1" ht="16.95" customHeight="1" x14ac:dyDescent="0.25">
      <c r="A13" s="84"/>
      <c r="B13" s="84"/>
      <c r="C13" s="84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51"/>
      <c r="R13" s="88"/>
      <c r="S13" s="88"/>
      <c r="T13" s="88"/>
      <c r="U13" s="88"/>
      <c r="V13" s="88"/>
      <c r="W13" s="88"/>
      <c r="X13" s="88"/>
      <c r="Y13" s="88"/>
      <c r="Z13" s="84"/>
    </row>
    <row r="14" spans="1:26" s="120" customFormat="1" ht="15.6" x14ac:dyDescent="0.25">
      <c r="A14" s="28">
        <f>A11</f>
        <v>3</v>
      </c>
      <c r="B14" s="28" t="s">
        <v>102</v>
      </c>
      <c r="C14" s="28" t="s">
        <v>178</v>
      </c>
      <c r="D14" s="101">
        <f>D12+D8</f>
        <v>78490000</v>
      </c>
      <c r="E14" s="101">
        <f t="shared" ref="E14:Y14" si="3">E12+E8</f>
        <v>80500000</v>
      </c>
      <c r="F14" s="101">
        <f t="shared" si="3"/>
        <v>-2010000</v>
      </c>
      <c r="G14" s="101">
        <f t="shared" si="3"/>
        <v>55290000</v>
      </c>
      <c r="H14" s="101">
        <f t="shared" si="3"/>
        <v>54081757.43</v>
      </c>
      <c r="I14" s="101">
        <f t="shared" si="3"/>
        <v>0</v>
      </c>
      <c r="J14" s="101">
        <f t="shared" si="3"/>
        <v>0</v>
      </c>
      <c r="K14" s="101">
        <f t="shared" si="3"/>
        <v>0</v>
      </c>
      <c r="L14" s="101">
        <f t="shared" si="3"/>
        <v>54081757.43</v>
      </c>
      <c r="M14" s="101">
        <f t="shared" si="3"/>
        <v>4608242.57</v>
      </c>
      <c r="N14" s="101">
        <f t="shared" si="3"/>
        <v>11550000</v>
      </c>
      <c r="O14" s="101">
        <f t="shared" si="3"/>
        <v>8250000</v>
      </c>
      <c r="P14" s="101">
        <f t="shared" si="3"/>
        <v>1208242.57</v>
      </c>
      <c r="Q14" s="101">
        <f t="shared" si="3"/>
        <v>3400000</v>
      </c>
      <c r="R14" s="101">
        <f t="shared" si="3"/>
        <v>0</v>
      </c>
      <c r="S14" s="101">
        <f t="shared" si="3"/>
        <v>3400000</v>
      </c>
      <c r="T14" s="101">
        <f t="shared" si="3"/>
        <v>0</v>
      </c>
      <c r="U14" s="101">
        <f t="shared" si="3"/>
        <v>11550000</v>
      </c>
      <c r="V14" s="101">
        <f t="shared" si="3"/>
        <v>50000</v>
      </c>
      <c r="W14" s="101">
        <f t="shared" si="3"/>
        <v>0</v>
      </c>
      <c r="X14" s="101">
        <f t="shared" si="3"/>
        <v>0</v>
      </c>
      <c r="Y14" s="101">
        <f t="shared" si="3"/>
        <v>11500000</v>
      </c>
      <c r="Z14" s="28"/>
    </row>
    <row r="15" spans="1:26" s="87" customFormat="1" x14ac:dyDescent="0.25">
      <c r="A15" s="84"/>
      <c r="B15" s="84"/>
      <c r="C15" s="84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>
        <f>D15-L15-M15-N15</f>
        <v>0</v>
      </c>
      <c r="P15" s="88"/>
      <c r="Q15" s="88"/>
      <c r="R15" s="88"/>
      <c r="S15" s="88"/>
      <c r="T15" s="88">
        <f>P15-M15+R15</f>
        <v>0</v>
      </c>
      <c r="U15" s="88">
        <f t="shared" si="0"/>
        <v>0</v>
      </c>
      <c r="V15" s="88"/>
      <c r="W15" s="88"/>
      <c r="X15" s="88"/>
      <c r="Y15" s="84"/>
      <c r="Z15" s="84"/>
    </row>
    <row r="16" spans="1:26" s="123" customFormat="1" x14ac:dyDescent="0.25"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05"/>
      <c r="Q16" s="124"/>
      <c r="R16" s="124"/>
      <c r="S16" s="124"/>
      <c r="T16" s="105"/>
    </row>
    <row r="17" spans="1:31" x14ac:dyDescent="0.25">
      <c r="L17" s="104">
        <f>K14+H14</f>
        <v>54081757.43</v>
      </c>
      <c r="M17" s="104">
        <f>P14+S14</f>
        <v>4608242.57</v>
      </c>
      <c r="N17" s="124"/>
      <c r="P17" s="104">
        <f>G14-L14</f>
        <v>1208242.5700000003</v>
      </c>
    </row>
    <row r="18" spans="1:31" hidden="1" x14ac:dyDescent="0.25"/>
    <row r="19" spans="1:31" hidden="1" x14ac:dyDescent="0.25">
      <c r="P19" s="105" t="s">
        <v>471</v>
      </c>
      <c r="Q19" s="104">
        <f>'[1]שיפוצי בתים עמידר'!$AY$12</f>
        <v>3400000</v>
      </c>
    </row>
    <row r="20" spans="1:31" hidden="1" x14ac:dyDescent="0.25"/>
    <row r="21" spans="1:31" s="105" customFormat="1" hidden="1" x14ac:dyDescent="0.25">
      <c r="A21" s="81"/>
      <c r="B21" s="80"/>
      <c r="C21" s="80"/>
      <c r="P21" s="105" t="s">
        <v>518</v>
      </c>
      <c r="Q21" s="105">
        <f>'[3]שיפוצי בתים עמידר'!$AZ$11</f>
        <v>900000</v>
      </c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</row>
    <row r="22" spans="1:31" s="105" customFormat="1" hidden="1" x14ac:dyDescent="0.25">
      <c r="A22" s="81"/>
      <c r="B22" s="80"/>
      <c r="C22" s="80"/>
      <c r="P22" s="105" t="s">
        <v>524</v>
      </c>
      <c r="Q22" s="105">
        <f>'[5]שיפוצי בתים עמידר'!$BC$11</f>
        <v>2500000</v>
      </c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</row>
    <row r="23" spans="1:31" s="105" customFormat="1" hidden="1" x14ac:dyDescent="0.25">
      <c r="A23" s="81"/>
      <c r="B23" s="80"/>
      <c r="C23" s="80"/>
      <c r="Q23" s="105">
        <f>SUM(Q21:Q22)</f>
        <v>3400000</v>
      </c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</row>
  </sheetData>
  <sheetProtection formatCells="0" formatColumns="0" formatRows="0" insertColumns="0" insertRows="0" insertHyperlinks="0" deleteColumns="0" deleteRows="0" sort="0" autoFilter="0" pivotTables="0"/>
  <mergeCells count="2">
    <mergeCell ref="A2:Y2"/>
    <mergeCell ref="A3:Y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4"/>
  <sheetViews>
    <sheetView showZeros="0" rightToLeft="1" zoomScaleNormal="100" workbookViewId="0">
      <pane xSplit="3" ySplit="5" topLeftCell="D12" activePane="bottomRight" state="frozen"/>
      <selection activeCell="E29" sqref="E29"/>
      <selection pane="topRight" activeCell="E29" sqref="E29"/>
      <selection pane="bottomLeft" activeCell="E29" sqref="E29"/>
      <selection pane="bottomRight" activeCell="D17" sqref="D17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109375" style="21" customWidth="1"/>
    <col min="4" max="4" width="12.6640625" style="19" customWidth="1"/>
    <col min="5" max="5" width="11.109375" style="19" customWidth="1"/>
    <col min="6" max="6" width="10.5546875" style="19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1.5546875" style="19" customWidth="1"/>
    <col min="14" max="14" width="11.109375" style="19" bestFit="1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8.88671875" style="19" hidden="1" customWidth="1"/>
    <col min="21" max="21" width="11.88671875" style="77" bestFit="1" customWidth="1"/>
    <col min="22" max="24" width="11.88671875" style="21" customWidth="1"/>
    <col min="25" max="25" width="12.6640625" style="21" customWidth="1"/>
    <col min="26" max="26" width="7.88671875" style="21" customWidth="1"/>
    <col min="27" max="28" width="9.109375" style="21" customWidth="1"/>
    <col min="29" max="16384" width="9.109375" style="21"/>
  </cols>
  <sheetData>
    <row r="2" spans="1:28" s="1" customFormat="1" ht="18" x14ac:dyDescent="0.35">
      <c r="A2" s="450" t="s">
        <v>298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2"/>
    </row>
    <row r="3" spans="1:28" ht="18" x14ac:dyDescent="0.35">
      <c r="A3" s="450" t="s">
        <v>273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</row>
    <row r="5" spans="1:28" s="59" customFormat="1" ht="86.2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82" t="s">
        <v>492</v>
      </c>
      <c r="N5" s="4" t="s">
        <v>299</v>
      </c>
      <c r="O5" s="4" t="s">
        <v>300</v>
      </c>
      <c r="P5" s="4" t="s">
        <v>12</v>
      </c>
      <c r="Q5" s="4" t="s">
        <v>301</v>
      </c>
      <c r="R5" s="4" t="s">
        <v>302</v>
      </c>
      <c r="S5" s="4" t="s">
        <v>303</v>
      </c>
      <c r="T5" s="4" t="s">
        <v>304</v>
      </c>
      <c r="U5" s="245" t="s">
        <v>305</v>
      </c>
      <c r="V5" s="4" t="s">
        <v>13</v>
      </c>
      <c r="W5" s="4" t="s">
        <v>14</v>
      </c>
      <c r="X5" s="4" t="s">
        <v>15</v>
      </c>
      <c r="Y5" s="4" t="s">
        <v>223</v>
      </c>
      <c r="Z5" s="4" t="s">
        <v>16</v>
      </c>
    </row>
    <row r="6" spans="1:28" s="8" customFormat="1" x14ac:dyDescent="0.25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5"/>
      <c r="V6" s="7"/>
      <c r="W6" s="7"/>
      <c r="X6" s="7"/>
      <c r="Y6" s="6"/>
      <c r="Z6" s="10"/>
    </row>
    <row r="7" spans="1:28" s="8" customForma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>D7-L7-M7-N7</f>
        <v>0</v>
      </c>
      <c r="P7" s="7"/>
      <c r="Q7" s="7"/>
      <c r="R7" s="7"/>
      <c r="S7" s="7"/>
      <c r="T7" s="7"/>
      <c r="U7" s="15">
        <f>N7-T7</f>
        <v>0</v>
      </c>
      <c r="V7" s="7"/>
      <c r="W7" s="7"/>
      <c r="X7" s="7"/>
      <c r="Y7" s="6"/>
      <c r="Z7" s="6"/>
    </row>
    <row r="8" spans="1:28" s="8" customFormat="1" x14ac:dyDescent="0.25">
      <c r="A8" s="6">
        <f>A7+1</f>
        <v>1</v>
      </c>
      <c r="B8" s="6">
        <v>1436</v>
      </c>
      <c r="C8" s="6" t="s">
        <v>159</v>
      </c>
      <c r="D8" s="7">
        <v>120000</v>
      </c>
      <c r="E8" s="7">
        <v>120000</v>
      </c>
      <c r="F8" s="7">
        <f>D8-E8</f>
        <v>0</v>
      </c>
      <c r="G8" s="7">
        <v>120000</v>
      </c>
      <c r="H8" s="7">
        <v>33974</v>
      </c>
      <c r="I8" s="7"/>
      <c r="J8" s="7"/>
      <c r="K8" s="7">
        <f>SUM(I8:J8)</f>
        <v>0</v>
      </c>
      <c r="L8" s="7">
        <f>H8+K8</f>
        <v>33974</v>
      </c>
      <c r="M8" s="7">
        <f>P8+S8</f>
        <v>86026</v>
      </c>
      <c r="N8" s="7"/>
      <c r="O8" s="7">
        <f>D8-L8-M8-N8</f>
        <v>0</v>
      </c>
      <c r="P8" s="7">
        <f>G8-L8</f>
        <v>86026</v>
      </c>
      <c r="Q8" s="7"/>
      <c r="R8" s="7"/>
      <c r="S8" s="7">
        <f>SUM(Q8:R8)</f>
        <v>0</v>
      </c>
      <c r="T8" s="7">
        <f>P8-M8+S8</f>
        <v>0</v>
      </c>
      <c r="U8" s="15">
        <f>N8-T8</f>
        <v>0</v>
      </c>
      <c r="V8" s="7">
        <f>U8-W8-X8-Y8</f>
        <v>0</v>
      </c>
      <c r="W8" s="7"/>
      <c r="X8" s="7"/>
      <c r="Y8" s="6"/>
      <c r="Z8" s="6">
        <v>620000</v>
      </c>
    </row>
    <row r="9" spans="1:28" s="13" customFormat="1" ht="15.6" x14ac:dyDescent="0.25">
      <c r="A9" s="11"/>
      <c r="B9" s="11"/>
      <c r="C9" s="11">
        <v>62</v>
      </c>
      <c r="D9" s="12">
        <f>SUM(D8)</f>
        <v>120000</v>
      </c>
      <c r="E9" s="12">
        <f t="shared" ref="E9:Y9" si="0">SUM(E8)</f>
        <v>120000</v>
      </c>
      <c r="F9" s="12">
        <f t="shared" si="0"/>
        <v>0</v>
      </c>
      <c r="G9" s="12">
        <f t="shared" si="0"/>
        <v>120000</v>
      </c>
      <c r="H9" s="12">
        <f t="shared" si="0"/>
        <v>33974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33974</v>
      </c>
      <c r="M9" s="12">
        <f t="shared" si="0"/>
        <v>86026</v>
      </c>
      <c r="N9" s="12">
        <f t="shared" si="0"/>
        <v>0</v>
      </c>
      <c r="O9" s="12">
        <f t="shared" si="0"/>
        <v>0</v>
      </c>
      <c r="P9" s="12">
        <f t="shared" si="0"/>
        <v>86026</v>
      </c>
      <c r="Q9" s="12">
        <f t="shared" si="0"/>
        <v>0</v>
      </c>
      <c r="R9" s="12">
        <f t="shared" si="0"/>
        <v>0</v>
      </c>
      <c r="S9" s="12">
        <f t="shared" si="0"/>
        <v>0</v>
      </c>
      <c r="T9" s="12">
        <f t="shared" si="0"/>
        <v>0</v>
      </c>
      <c r="U9" s="12">
        <f t="shared" si="0"/>
        <v>0</v>
      </c>
      <c r="V9" s="12">
        <f t="shared" si="0"/>
        <v>0</v>
      </c>
      <c r="W9" s="12">
        <f t="shared" si="0"/>
        <v>0</v>
      </c>
      <c r="X9" s="12">
        <f t="shared" si="0"/>
        <v>0</v>
      </c>
      <c r="Y9" s="12">
        <f t="shared" si="0"/>
        <v>0</v>
      </c>
      <c r="Z9" s="11"/>
    </row>
    <row r="10" spans="1:28" s="8" customFormat="1" x14ac:dyDescent="0.25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5"/>
      <c r="V10" s="7"/>
      <c r="W10" s="7"/>
      <c r="X10" s="7"/>
      <c r="Y10" s="6"/>
      <c r="Z10" s="6"/>
    </row>
    <row r="11" spans="1:28" s="87" customFormat="1" x14ac:dyDescent="0.25">
      <c r="A11" s="6">
        <f>A8+1</f>
        <v>2</v>
      </c>
      <c r="B11" s="6">
        <v>1422</v>
      </c>
      <c r="C11" s="6" t="s">
        <v>158</v>
      </c>
      <c r="D11" s="7">
        <v>30257000</v>
      </c>
      <c r="E11" s="7">
        <v>30257000</v>
      </c>
      <c r="F11" s="7">
        <f>D11-E11</f>
        <v>0</v>
      </c>
      <c r="G11" s="7">
        <v>7257000</v>
      </c>
      <c r="H11" s="7">
        <v>7257000</v>
      </c>
      <c r="I11" s="7"/>
      <c r="J11" s="7"/>
      <c r="K11" s="7">
        <f>SUM(I11:J11)</f>
        <v>0</v>
      </c>
      <c r="L11" s="7">
        <f>H11+K11</f>
        <v>7257000</v>
      </c>
      <c r="M11" s="7">
        <f>P11+S11</f>
        <v>6925000</v>
      </c>
      <c r="N11" s="7"/>
      <c r="O11" s="7">
        <f>D11-L11-M11-N11</f>
        <v>16075000</v>
      </c>
      <c r="P11" s="7">
        <f>G11-L11</f>
        <v>0</v>
      </c>
      <c r="Q11" s="7"/>
      <c r="R11" s="199">
        <v>6925000</v>
      </c>
      <c r="S11" s="7">
        <f>SUM(Q11:R11)</f>
        <v>6925000</v>
      </c>
      <c r="T11" s="7">
        <f>P11-M11+S11</f>
        <v>0</v>
      </c>
      <c r="U11" s="15">
        <f>N11-T11</f>
        <v>0</v>
      </c>
      <c r="V11" s="7">
        <f>U11-W11-X11-Y11</f>
        <v>0</v>
      </c>
      <c r="W11" s="7"/>
      <c r="X11" s="7"/>
      <c r="Y11" s="6"/>
      <c r="Z11" s="6">
        <v>730000</v>
      </c>
      <c r="AA11" s="8"/>
      <c r="AB11" s="8"/>
    </row>
    <row r="12" spans="1:28" s="120" customFormat="1" ht="15.6" x14ac:dyDescent="0.25">
      <c r="A12" s="11"/>
      <c r="B12" s="11"/>
      <c r="C12" s="11">
        <v>73</v>
      </c>
      <c r="D12" s="12">
        <f>SUM(D11)</f>
        <v>30257000</v>
      </c>
      <c r="E12" s="12">
        <f t="shared" ref="E12:Y12" si="1">SUM(E11)</f>
        <v>30257000</v>
      </c>
      <c r="F12" s="12">
        <f t="shared" si="1"/>
        <v>0</v>
      </c>
      <c r="G12" s="12">
        <f t="shared" si="1"/>
        <v>7257000</v>
      </c>
      <c r="H12" s="12">
        <f t="shared" si="1"/>
        <v>7257000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7257000</v>
      </c>
      <c r="M12" s="12">
        <f t="shared" si="1"/>
        <v>6925000</v>
      </c>
      <c r="N12" s="12">
        <f t="shared" si="1"/>
        <v>0</v>
      </c>
      <c r="O12" s="12">
        <f t="shared" si="1"/>
        <v>16075000</v>
      </c>
      <c r="P12" s="12">
        <f t="shared" si="1"/>
        <v>0</v>
      </c>
      <c r="Q12" s="12">
        <f t="shared" si="1"/>
        <v>0</v>
      </c>
      <c r="R12" s="12">
        <f t="shared" si="1"/>
        <v>6925000</v>
      </c>
      <c r="S12" s="12">
        <f t="shared" si="1"/>
        <v>6925000</v>
      </c>
      <c r="T12" s="12">
        <f t="shared" si="1"/>
        <v>0</v>
      </c>
      <c r="U12" s="12">
        <f t="shared" si="1"/>
        <v>0</v>
      </c>
      <c r="V12" s="12">
        <f t="shared" si="1"/>
        <v>0</v>
      </c>
      <c r="W12" s="12">
        <f t="shared" si="1"/>
        <v>0</v>
      </c>
      <c r="X12" s="12">
        <f t="shared" si="1"/>
        <v>0</v>
      </c>
      <c r="Y12" s="12">
        <f t="shared" si="1"/>
        <v>0</v>
      </c>
      <c r="Z12" s="11"/>
      <c r="AA12" s="13"/>
      <c r="AB12" s="13"/>
    </row>
    <row r="13" spans="1:28" s="87" customFormat="1" x14ac:dyDescent="0.25">
      <c r="A13" s="6"/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99"/>
      <c r="S13" s="7"/>
      <c r="T13" s="7"/>
      <c r="U13" s="15"/>
      <c r="V13" s="7"/>
      <c r="W13" s="7"/>
      <c r="X13" s="7"/>
      <c r="Y13" s="6"/>
      <c r="Z13" s="6"/>
      <c r="AA13" s="8"/>
      <c r="AB13" s="8"/>
    </row>
    <row r="14" spans="1:28" s="8" customFormat="1" x14ac:dyDescent="0.25">
      <c r="A14" s="6">
        <f>A11+1</f>
        <v>3</v>
      </c>
      <c r="B14" s="84">
        <v>1032</v>
      </c>
      <c r="C14" s="84" t="s">
        <v>432</v>
      </c>
      <c r="D14" s="88">
        <v>40500000</v>
      </c>
      <c r="E14" s="88">
        <v>40500000</v>
      </c>
      <c r="F14" s="88">
        <f>D14-E14</f>
        <v>0</v>
      </c>
      <c r="G14" s="88">
        <v>21260000</v>
      </c>
      <c r="H14" s="88">
        <v>17790841</v>
      </c>
      <c r="I14" s="88">
        <v>1269817</v>
      </c>
      <c r="J14" s="88">
        <v>577071</v>
      </c>
      <c r="K14" s="88">
        <f>SUM(I14:J14)</f>
        <v>1846888</v>
      </c>
      <c r="L14" s="88">
        <f>H14+K14</f>
        <v>19637729</v>
      </c>
      <c r="M14" s="88">
        <f>P14+S14</f>
        <v>1622271</v>
      </c>
      <c r="N14" s="88">
        <f>8000000-3000000</f>
        <v>5000000</v>
      </c>
      <c r="O14" s="88">
        <f>D14-L14-M14-N14</f>
        <v>14240000</v>
      </c>
      <c r="P14" s="88">
        <f>G14-L14</f>
        <v>1622271</v>
      </c>
      <c r="Q14" s="88"/>
      <c r="R14" s="88"/>
      <c r="S14" s="88">
        <f>SUM(Q14:R14)</f>
        <v>0</v>
      </c>
      <c r="T14" s="88">
        <f>P14-M14+S14</f>
        <v>0</v>
      </c>
      <c r="U14" s="94">
        <f>N14-T14</f>
        <v>5000000</v>
      </c>
      <c r="V14" s="88">
        <f>U14-Y14-W14-X14</f>
        <v>4900000</v>
      </c>
      <c r="W14" s="88">
        <v>100000</v>
      </c>
      <c r="X14" s="88"/>
      <c r="Y14" s="84"/>
      <c r="Z14" s="84">
        <v>742000</v>
      </c>
      <c r="AA14" s="96"/>
      <c r="AB14" s="87"/>
    </row>
    <row r="15" spans="1:28" s="8" customFormat="1" x14ac:dyDescent="0.25">
      <c r="A15" s="6">
        <f>A14+1</f>
        <v>4</v>
      </c>
      <c r="B15" s="6">
        <v>1489</v>
      </c>
      <c r="C15" s="6" t="s">
        <v>482</v>
      </c>
      <c r="D15" s="7">
        <v>46200000</v>
      </c>
      <c r="E15" s="7">
        <v>46200000</v>
      </c>
      <c r="F15" s="7">
        <f>D15-E15</f>
        <v>0</v>
      </c>
      <c r="G15" s="7">
        <v>25500000</v>
      </c>
      <c r="H15" s="7">
        <v>23229141</v>
      </c>
      <c r="I15" s="7">
        <v>1760214</v>
      </c>
      <c r="J15" s="7">
        <v>7416.97</v>
      </c>
      <c r="K15" s="7">
        <f>SUM(I15:J15)</f>
        <v>1767630.97</v>
      </c>
      <c r="L15" s="7">
        <f>H15+K15</f>
        <v>24996771.969999999</v>
      </c>
      <c r="M15" s="7">
        <f>P15+S15</f>
        <v>503228.03000000119</v>
      </c>
      <c r="N15" s="7">
        <v>4000000</v>
      </c>
      <c r="O15" s="7">
        <f>D15-L15-M15-N15</f>
        <v>16700000</v>
      </c>
      <c r="P15" s="7">
        <f>G15-L15</f>
        <v>503228.03000000119</v>
      </c>
      <c r="Q15" s="7"/>
      <c r="R15" s="7"/>
      <c r="S15" s="7">
        <f>SUM(Q15:R15)</f>
        <v>0</v>
      </c>
      <c r="T15" s="7">
        <f>P15-M15+S15</f>
        <v>0</v>
      </c>
      <c r="U15" s="15">
        <f>N15-T15</f>
        <v>4000000</v>
      </c>
      <c r="V15" s="7"/>
      <c r="W15" s="7">
        <f>U15-V15-X15-Y15</f>
        <v>4000000</v>
      </c>
      <c r="X15" s="7"/>
      <c r="Y15" s="6"/>
      <c r="Z15" s="6">
        <v>742000</v>
      </c>
    </row>
    <row r="16" spans="1:28" s="87" customFormat="1" x14ac:dyDescent="0.25">
      <c r="A16" s="6">
        <f>A15+1</f>
        <v>5</v>
      </c>
      <c r="B16" s="6">
        <v>1793</v>
      </c>
      <c r="C16" s="6" t="s">
        <v>228</v>
      </c>
      <c r="D16" s="7">
        <f>11588000-7491599+69619</f>
        <v>4166020</v>
      </c>
      <c r="E16" s="7">
        <v>11588000</v>
      </c>
      <c r="F16" s="7">
        <f>D16-E16</f>
        <v>-7421980</v>
      </c>
      <c r="G16" s="7">
        <v>4700000</v>
      </c>
      <c r="H16" s="7">
        <v>1299827.6399999999</v>
      </c>
      <c r="I16" s="7">
        <v>934702.64</v>
      </c>
      <c r="J16" s="7"/>
      <c r="K16" s="7">
        <f>SUM(I16:J16)</f>
        <v>934702.64</v>
      </c>
      <c r="L16" s="7">
        <f>H16+K16</f>
        <v>2234530.2799999998</v>
      </c>
      <c r="M16" s="7">
        <f>P16+S16-603599+69619</f>
        <v>1931489.7200000002</v>
      </c>
      <c r="N16" s="7"/>
      <c r="O16" s="7">
        <f>D16-L16-M16-N16</f>
        <v>0</v>
      </c>
      <c r="P16" s="7">
        <f>G16-L16</f>
        <v>2465469.7200000002</v>
      </c>
      <c r="Q16" s="7"/>
      <c r="R16" s="7"/>
      <c r="S16" s="7">
        <f>SUM(Q16:R16)</f>
        <v>0</v>
      </c>
      <c r="T16" s="7">
        <f>P16-M16+S16</f>
        <v>533980</v>
      </c>
      <c r="U16" s="15">
        <f>N16-T16</f>
        <v>-533980</v>
      </c>
      <c r="V16" s="7">
        <f>U16-W16-X16-Y16</f>
        <v>-548940</v>
      </c>
      <c r="W16" s="7">
        <v>14960</v>
      </c>
      <c r="X16" s="7"/>
      <c r="Y16" s="6"/>
      <c r="Z16" s="6">
        <v>742000</v>
      </c>
      <c r="AA16" s="8"/>
      <c r="AB16" s="8"/>
    </row>
    <row r="17" spans="1:28" s="8" customFormat="1" x14ac:dyDescent="0.25">
      <c r="A17" s="6">
        <f>A16+1</f>
        <v>6</v>
      </c>
      <c r="B17" s="6">
        <v>1986</v>
      </c>
      <c r="C17" s="6" t="s">
        <v>483</v>
      </c>
      <c r="D17" s="7">
        <v>10000000</v>
      </c>
      <c r="E17" s="7"/>
      <c r="F17" s="7">
        <f>D17-E17</f>
        <v>10000000</v>
      </c>
      <c r="G17" s="7"/>
      <c r="H17" s="7"/>
      <c r="I17" s="7"/>
      <c r="J17" s="7"/>
      <c r="K17" s="7">
        <f>SUM(I17:J17)</f>
        <v>0</v>
      </c>
      <c r="L17" s="7">
        <f>H17+K17</f>
        <v>0</v>
      </c>
      <c r="M17" s="7">
        <f>P17+S17</f>
        <v>0</v>
      </c>
      <c r="N17" s="7">
        <f>5000000+400000-1000000</f>
        <v>4400000</v>
      </c>
      <c r="O17" s="7">
        <f>D17-L17-M17-N17</f>
        <v>5600000</v>
      </c>
      <c r="P17" s="7">
        <f>G17-L17</f>
        <v>0</v>
      </c>
      <c r="Q17" s="7"/>
      <c r="R17" s="7"/>
      <c r="S17" s="7">
        <f>SUM(Q17:R17)</f>
        <v>0</v>
      </c>
      <c r="T17" s="7">
        <f>P17-M17+S17</f>
        <v>0</v>
      </c>
      <c r="U17" s="15">
        <f>N17-T17</f>
        <v>4400000</v>
      </c>
      <c r="V17" s="7">
        <f>U17-W17-X17-Y17</f>
        <v>1000000</v>
      </c>
      <c r="W17" s="7">
        <f>2000000+1000000+400000</f>
        <v>3400000</v>
      </c>
      <c r="X17" s="7"/>
      <c r="Y17" s="6"/>
      <c r="Z17" s="6">
        <v>742000</v>
      </c>
    </row>
    <row r="18" spans="1:28" s="8" customFormat="1" x14ac:dyDescent="0.25">
      <c r="A18" s="6">
        <f>A17+1</f>
        <v>7</v>
      </c>
      <c r="B18" s="84">
        <v>1287</v>
      </c>
      <c r="C18" s="84" t="s">
        <v>108</v>
      </c>
      <c r="D18" s="88">
        <v>500000</v>
      </c>
      <c r="E18" s="88">
        <v>500000</v>
      </c>
      <c r="F18" s="88">
        <f>D18-E18</f>
        <v>0</v>
      </c>
      <c r="G18" s="88">
        <v>300000</v>
      </c>
      <c r="H18" s="88">
        <v>199999.49</v>
      </c>
      <c r="I18" s="88"/>
      <c r="J18" s="88"/>
      <c r="K18" s="88">
        <f>SUM(I18:J18)</f>
        <v>0</v>
      </c>
      <c r="L18" s="88">
        <f>H18+K18</f>
        <v>199999.49</v>
      </c>
      <c r="M18" s="88">
        <f>P18+S18</f>
        <v>100000.51000000001</v>
      </c>
      <c r="N18" s="88"/>
      <c r="O18" s="88">
        <f>D18-L18-M18-N18</f>
        <v>200000</v>
      </c>
      <c r="P18" s="88">
        <f>G18-L18</f>
        <v>100000.51000000001</v>
      </c>
      <c r="Q18" s="88"/>
      <c r="R18" s="88"/>
      <c r="S18" s="88">
        <f>SUM(Q18:R18)</f>
        <v>0</v>
      </c>
      <c r="T18" s="88">
        <f>P18-M18+S18</f>
        <v>0</v>
      </c>
      <c r="U18" s="94">
        <f>N18-T18</f>
        <v>0</v>
      </c>
      <c r="V18" s="88"/>
      <c r="W18" s="88">
        <f>U18-V18-X18-Y18</f>
        <v>0</v>
      </c>
      <c r="X18" s="88"/>
      <c r="Y18" s="84"/>
      <c r="Z18" s="89">
        <v>744000</v>
      </c>
      <c r="AA18" s="98"/>
      <c r="AB18" s="98"/>
    </row>
    <row r="19" spans="1:28" s="13" customFormat="1" ht="15.6" x14ac:dyDescent="0.25">
      <c r="A19" s="11"/>
      <c r="B19" s="28"/>
      <c r="C19" s="28">
        <v>74</v>
      </c>
      <c r="D19" s="101">
        <f>SUM(D14:D18)</f>
        <v>101366020</v>
      </c>
      <c r="E19" s="101">
        <f t="shared" ref="E19:Y19" si="2">SUM(E14:E18)</f>
        <v>98788000</v>
      </c>
      <c r="F19" s="101">
        <f t="shared" si="2"/>
        <v>2578020</v>
      </c>
      <c r="G19" s="101">
        <f t="shared" si="2"/>
        <v>51760000</v>
      </c>
      <c r="H19" s="101">
        <f t="shared" si="2"/>
        <v>42519809.130000003</v>
      </c>
      <c r="I19" s="101">
        <f t="shared" si="2"/>
        <v>3964733.64</v>
      </c>
      <c r="J19" s="101">
        <f t="shared" si="2"/>
        <v>584487.97</v>
      </c>
      <c r="K19" s="101">
        <f t="shared" si="2"/>
        <v>4549221.6099999994</v>
      </c>
      <c r="L19" s="101">
        <f t="shared" si="2"/>
        <v>47069030.740000002</v>
      </c>
      <c r="M19" s="101">
        <f t="shared" si="2"/>
        <v>4156989.2600000016</v>
      </c>
      <c r="N19" s="101">
        <f t="shared" si="2"/>
        <v>13400000</v>
      </c>
      <c r="O19" s="101">
        <f t="shared" si="2"/>
        <v>36740000</v>
      </c>
      <c r="P19" s="101">
        <f t="shared" si="2"/>
        <v>4690969.2600000016</v>
      </c>
      <c r="Q19" s="101">
        <f t="shared" si="2"/>
        <v>0</v>
      </c>
      <c r="R19" s="101">
        <f t="shared" si="2"/>
        <v>0</v>
      </c>
      <c r="S19" s="101">
        <f t="shared" si="2"/>
        <v>0</v>
      </c>
      <c r="T19" s="101">
        <f t="shared" si="2"/>
        <v>533980</v>
      </c>
      <c r="U19" s="101">
        <f t="shared" si="2"/>
        <v>12866020</v>
      </c>
      <c r="V19" s="101">
        <f t="shared" si="2"/>
        <v>5351060</v>
      </c>
      <c r="W19" s="101">
        <f t="shared" si="2"/>
        <v>7514960</v>
      </c>
      <c r="X19" s="101">
        <f t="shared" si="2"/>
        <v>0</v>
      </c>
      <c r="Y19" s="101">
        <f t="shared" si="2"/>
        <v>0</v>
      </c>
      <c r="Z19" s="112"/>
      <c r="AA19" s="29"/>
      <c r="AB19" s="29"/>
    </row>
    <row r="20" spans="1:28" s="8" customFormat="1" x14ac:dyDescent="0.25">
      <c r="A20" s="6"/>
      <c r="B20" s="84"/>
      <c r="C20" s="84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94"/>
      <c r="V20" s="88"/>
      <c r="W20" s="88"/>
      <c r="X20" s="88"/>
      <c r="Y20" s="84"/>
      <c r="Z20" s="89"/>
      <c r="AA20" s="98"/>
      <c r="AB20" s="98"/>
    </row>
    <row r="21" spans="1:28" s="8" customFormat="1" x14ac:dyDescent="0.25">
      <c r="A21" s="6">
        <f>A18+1</f>
        <v>8</v>
      </c>
      <c r="B21" s="6">
        <v>499</v>
      </c>
      <c r="C21" s="6" t="s">
        <v>481</v>
      </c>
      <c r="D21" s="7">
        <v>1810000</v>
      </c>
      <c r="E21" s="7">
        <v>1810000</v>
      </c>
      <c r="F21" s="7">
        <f>D21-E21</f>
        <v>0</v>
      </c>
      <c r="G21" s="7">
        <v>1675000</v>
      </c>
      <c r="H21" s="7">
        <v>1668941.2</v>
      </c>
      <c r="I21" s="7"/>
      <c r="J21" s="7"/>
      <c r="K21" s="7">
        <f>SUM(I21:J21)</f>
        <v>0</v>
      </c>
      <c r="L21" s="7">
        <f>H21+K21</f>
        <v>1668941.2</v>
      </c>
      <c r="M21" s="7">
        <f>P21+S21</f>
        <v>6058.8000000000466</v>
      </c>
      <c r="N21" s="7"/>
      <c r="O21" s="7">
        <f>D21-L21-M21-N21</f>
        <v>135000</v>
      </c>
      <c r="P21" s="7">
        <f>G21-L21</f>
        <v>6058.8000000000466</v>
      </c>
      <c r="Q21" s="7"/>
      <c r="R21" s="7"/>
      <c r="S21" s="7">
        <f>SUM(Q21:R21)</f>
        <v>0</v>
      </c>
      <c r="T21" s="7">
        <f>P21-M21+S21</f>
        <v>0</v>
      </c>
      <c r="U21" s="15">
        <f>N21-T21</f>
        <v>0</v>
      </c>
      <c r="V21" s="7">
        <f>U21-W21-X21-Y21</f>
        <v>0</v>
      </c>
      <c r="W21" s="7"/>
      <c r="X21" s="7"/>
      <c r="Y21" s="6"/>
      <c r="Z21" s="6">
        <v>760000</v>
      </c>
    </row>
    <row r="22" spans="1:28" s="8" customFormat="1" x14ac:dyDescent="0.25">
      <c r="A22" s="6">
        <f>A21+1</f>
        <v>9</v>
      </c>
      <c r="B22" s="6">
        <v>1259</v>
      </c>
      <c r="C22" s="6" t="s">
        <v>156</v>
      </c>
      <c r="D22" s="7">
        <f>4260000+850000+350000</f>
        <v>5460000</v>
      </c>
      <c r="E22" s="7">
        <v>4260000</v>
      </c>
      <c r="F22" s="7">
        <f>D22-E22</f>
        <v>1200000</v>
      </c>
      <c r="G22" s="7">
        <v>2760000</v>
      </c>
      <c r="H22" s="7">
        <v>1979832.22</v>
      </c>
      <c r="I22" s="7">
        <v>292500</v>
      </c>
      <c r="J22" s="7">
        <v>139895.73000000001</v>
      </c>
      <c r="K22" s="7">
        <f>SUM(I22:J22)</f>
        <v>432395.73</v>
      </c>
      <c r="L22" s="7">
        <f>H22+K22</f>
        <v>2412227.9500000002</v>
      </c>
      <c r="M22" s="7">
        <f>P22+S22</f>
        <v>697772.04999999981</v>
      </c>
      <c r="N22" s="7">
        <v>2350000</v>
      </c>
      <c r="O22" s="7">
        <f>D22-L22-M22-N22</f>
        <v>0</v>
      </c>
      <c r="P22" s="7">
        <f>G22-L22</f>
        <v>347772.04999999981</v>
      </c>
      <c r="Q22" s="150">
        <v>350000</v>
      </c>
      <c r="R22" s="7"/>
      <c r="S22" s="7">
        <f>SUM(Q22:R22)</f>
        <v>350000</v>
      </c>
      <c r="T22" s="7">
        <f>P22-M22+S22</f>
        <v>0</v>
      </c>
      <c r="U22" s="15">
        <f>N22-T22</f>
        <v>2350000</v>
      </c>
      <c r="V22" s="7">
        <f>U22-W22-X22-Y22</f>
        <v>2350000</v>
      </c>
      <c r="W22" s="7"/>
      <c r="X22" s="7"/>
      <c r="Y22" s="6"/>
      <c r="Z22" s="6">
        <v>760000</v>
      </c>
    </row>
    <row r="23" spans="1:28" s="8" customFormat="1" x14ac:dyDescent="0.25">
      <c r="A23" s="6">
        <f>A22+1</f>
        <v>10</v>
      </c>
      <c r="B23" s="6">
        <v>1260</v>
      </c>
      <c r="C23" s="6" t="s">
        <v>157</v>
      </c>
      <c r="D23" s="7">
        <f>7608000+1000000</f>
        <v>8608000</v>
      </c>
      <c r="E23" s="7">
        <v>7608000</v>
      </c>
      <c r="F23" s="7">
        <f>D23-E23</f>
        <v>1000000</v>
      </c>
      <c r="G23" s="7">
        <v>7608000</v>
      </c>
      <c r="H23" s="7">
        <v>6762346</v>
      </c>
      <c r="I23" s="7">
        <v>314795</v>
      </c>
      <c r="J23" s="7">
        <v>60345.39</v>
      </c>
      <c r="K23" s="7">
        <f>SUM(I23:J23)</f>
        <v>375140.39</v>
      </c>
      <c r="L23" s="7">
        <f>H23+K23</f>
        <v>7137486.3899999997</v>
      </c>
      <c r="M23" s="7">
        <f>P23+S23</f>
        <v>470513.61000000034</v>
      </c>
      <c r="N23" s="7">
        <v>1000000</v>
      </c>
      <c r="O23" s="7">
        <f>D23-L23-M23-N23</f>
        <v>0</v>
      </c>
      <c r="P23" s="7">
        <f>G23-L23</f>
        <v>470513.61000000034</v>
      </c>
      <c r="Q23" s="7"/>
      <c r="R23" s="7"/>
      <c r="S23" s="7">
        <f>SUM(Q23:R23)</f>
        <v>0</v>
      </c>
      <c r="T23" s="7">
        <f>P23-M23+S23</f>
        <v>0</v>
      </c>
      <c r="U23" s="15">
        <f>N23-T23</f>
        <v>1000000</v>
      </c>
      <c r="V23" s="7">
        <f>U23-W23-X23-Y23</f>
        <v>500000</v>
      </c>
      <c r="W23" s="7">
        <v>500000</v>
      </c>
      <c r="X23" s="7"/>
      <c r="Y23" s="6"/>
      <c r="Z23" s="6">
        <v>760000</v>
      </c>
    </row>
    <row r="24" spans="1:28" s="8" customFormat="1" x14ac:dyDescent="0.25">
      <c r="A24" s="6">
        <f>A23+1</f>
        <v>11</v>
      </c>
      <c r="B24" s="6">
        <v>1945</v>
      </c>
      <c r="C24" s="6" t="s">
        <v>535</v>
      </c>
      <c r="D24" s="7">
        <v>230000</v>
      </c>
      <c r="E24" s="7">
        <v>230000</v>
      </c>
      <c r="F24" s="7">
        <f>D24-E24</f>
        <v>0</v>
      </c>
      <c r="G24" s="7"/>
      <c r="H24" s="7"/>
      <c r="I24" s="7"/>
      <c r="J24" s="7"/>
      <c r="K24" s="7">
        <f>SUM(I24:J24)</f>
        <v>0</v>
      </c>
      <c r="L24" s="7">
        <f>H24+K24</f>
        <v>0</v>
      </c>
      <c r="M24" s="7">
        <f>P24+S24</f>
        <v>230000</v>
      </c>
      <c r="N24" s="7"/>
      <c r="O24" s="7">
        <f>D24-L24-M24-N24</f>
        <v>0</v>
      </c>
      <c r="P24" s="7">
        <f>G24-L24</f>
        <v>0</v>
      </c>
      <c r="Q24" s="7"/>
      <c r="R24" s="7">
        <v>230000</v>
      </c>
      <c r="S24" s="7">
        <f>SUM(Q24:R24)</f>
        <v>230000</v>
      </c>
      <c r="T24" s="7">
        <f>P24-M24+S24</f>
        <v>0</v>
      </c>
      <c r="U24" s="15">
        <f>N24-T24</f>
        <v>0</v>
      </c>
      <c r="V24" s="7">
        <f>U24-W24-X24-Y24</f>
        <v>0</v>
      </c>
      <c r="W24" s="7"/>
      <c r="X24" s="7"/>
      <c r="Y24" s="6"/>
      <c r="Z24" s="6">
        <v>760000</v>
      </c>
    </row>
    <row r="25" spans="1:28" s="13" customFormat="1" ht="15.6" x14ac:dyDescent="0.25">
      <c r="A25" s="11"/>
      <c r="B25" s="11"/>
      <c r="C25" s="11">
        <v>76</v>
      </c>
      <c r="D25" s="12">
        <f>SUM(D21:D24)</f>
        <v>16108000</v>
      </c>
      <c r="E25" s="12">
        <f t="shared" ref="E25:Y25" si="3">SUM(E21:E24)</f>
        <v>13908000</v>
      </c>
      <c r="F25" s="12">
        <f t="shared" si="3"/>
        <v>2200000</v>
      </c>
      <c r="G25" s="12">
        <f t="shared" si="3"/>
        <v>12043000</v>
      </c>
      <c r="H25" s="12">
        <f t="shared" si="3"/>
        <v>10411119.42</v>
      </c>
      <c r="I25" s="12">
        <f t="shared" si="3"/>
        <v>607295</v>
      </c>
      <c r="J25" s="12">
        <f t="shared" si="3"/>
        <v>200241.12</v>
      </c>
      <c r="K25" s="12">
        <f t="shared" si="3"/>
        <v>807536.12</v>
      </c>
      <c r="L25" s="12">
        <f t="shared" si="3"/>
        <v>11218655.539999999</v>
      </c>
      <c r="M25" s="12">
        <f t="shared" si="3"/>
        <v>1404344.4600000002</v>
      </c>
      <c r="N25" s="12">
        <f t="shared" si="3"/>
        <v>3350000</v>
      </c>
      <c r="O25" s="12">
        <f t="shared" si="3"/>
        <v>135000</v>
      </c>
      <c r="P25" s="12">
        <f t="shared" si="3"/>
        <v>824344.4600000002</v>
      </c>
      <c r="Q25" s="12">
        <f t="shared" si="3"/>
        <v>350000</v>
      </c>
      <c r="R25" s="12">
        <f t="shared" si="3"/>
        <v>230000</v>
      </c>
      <c r="S25" s="12">
        <f t="shared" si="3"/>
        <v>580000</v>
      </c>
      <c r="T25" s="12">
        <f t="shared" si="3"/>
        <v>0</v>
      </c>
      <c r="U25" s="12">
        <f t="shared" si="3"/>
        <v>3350000</v>
      </c>
      <c r="V25" s="12">
        <f t="shared" si="3"/>
        <v>2850000</v>
      </c>
      <c r="W25" s="12">
        <f t="shared" si="3"/>
        <v>500000</v>
      </c>
      <c r="X25" s="12">
        <f t="shared" si="3"/>
        <v>0</v>
      </c>
      <c r="Y25" s="12">
        <f t="shared" si="3"/>
        <v>0</v>
      </c>
      <c r="Z25" s="11"/>
    </row>
    <row r="26" spans="1:28" s="8" customFormat="1" x14ac:dyDescent="0.25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15"/>
      <c r="V26" s="7"/>
      <c r="W26" s="7"/>
      <c r="X26" s="7"/>
      <c r="Y26" s="6"/>
      <c r="Z26" s="6"/>
    </row>
    <row r="27" spans="1:28" s="8" customFormat="1" x14ac:dyDescent="0.25">
      <c r="A27" s="6">
        <f>A24+1</f>
        <v>12</v>
      </c>
      <c r="B27" s="6">
        <v>1688</v>
      </c>
      <c r="C27" s="6" t="s">
        <v>160</v>
      </c>
      <c r="D27" s="7">
        <v>15133000</v>
      </c>
      <c r="E27" s="7">
        <v>15133000</v>
      </c>
      <c r="F27" s="7">
        <f>D27-E27</f>
        <v>0</v>
      </c>
      <c r="G27" s="7">
        <v>15133000</v>
      </c>
      <c r="H27" s="7">
        <v>15133000</v>
      </c>
      <c r="I27" s="7"/>
      <c r="J27" s="7"/>
      <c r="K27" s="7">
        <f>SUM(I27:J27)</f>
        <v>0</v>
      </c>
      <c r="L27" s="7">
        <f>H27+K27</f>
        <v>15133000</v>
      </c>
      <c r="M27" s="7">
        <f>P27+S27</f>
        <v>0</v>
      </c>
      <c r="N27" s="7"/>
      <c r="O27" s="7">
        <f>D27-L27-M27-N27</f>
        <v>0</v>
      </c>
      <c r="P27" s="7">
        <f>G27-L27</f>
        <v>0</v>
      </c>
      <c r="Q27" s="7"/>
      <c r="R27" s="7"/>
      <c r="S27" s="7">
        <f>SUM(Q27:R27)</f>
        <v>0</v>
      </c>
      <c r="T27" s="7">
        <f>P27-M27+S27</f>
        <v>0</v>
      </c>
      <c r="U27" s="15">
        <f>N27-T27</f>
        <v>0</v>
      </c>
      <c r="V27" s="7">
        <f>U27-W27-X27-Y27</f>
        <v>0</v>
      </c>
      <c r="W27" s="7"/>
      <c r="X27" s="7"/>
      <c r="Y27" s="6"/>
      <c r="Z27" s="6">
        <v>990000</v>
      </c>
    </row>
    <row r="28" spans="1:28" s="13" customFormat="1" ht="15.6" x14ac:dyDescent="0.25">
      <c r="A28" s="11"/>
      <c r="B28" s="11"/>
      <c r="C28" s="11">
        <v>99</v>
      </c>
      <c r="D28" s="12">
        <f>SUM(D27)</f>
        <v>15133000</v>
      </c>
      <c r="E28" s="12">
        <f t="shared" ref="E28:Y28" si="4">SUM(E27)</f>
        <v>15133000</v>
      </c>
      <c r="F28" s="12">
        <f t="shared" si="4"/>
        <v>0</v>
      </c>
      <c r="G28" s="12">
        <f t="shared" si="4"/>
        <v>15133000</v>
      </c>
      <c r="H28" s="12">
        <f t="shared" si="4"/>
        <v>15133000</v>
      </c>
      <c r="I28" s="12">
        <f t="shared" si="4"/>
        <v>0</v>
      </c>
      <c r="J28" s="12">
        <f t="shared" si="4"/>
        <v>0</v>
      </c>
      <c r="K28" s="12">
        <f t="shared" si="4"/>
        <v>0</v>
      </c>
      <c r="L28" s="12">
        <f t="shared" si="4"/>
        <v>15133000</v>
      </c>
      <c r="M28" s="12">
        <f t="shared" si="4"/>
        <v>0</v>
      </c>
      <c r="N28" s="12">
        <f t="shared" si="4"/>
        <v>0</v>
      </c>
      <c r="O28" s="12">
        <f t="shared" si="4"/>
        <v>0</v>
      </c>
      <c r="P28" s="12">
        <f t="shared" si="4"/>
        <v>0</v>
      </c>
      <c r="Q28" s="12">
        <f t="shared" si="4"/>
        <v>0</v>
      </c>
      <c r="R28" s="12">
        <f t="shared" si="4"/>
        <v>0</v>
      </c>
      <c r="S28" s="12">
        <f t="shared" si="4"/>
        <v>0</v>
      </c>
      <c r="T28" s="12">
        <f t="shared" si="4"/>
        <v>0</v>
      </c>
      <c r="U28" s="12">
        <f t="shared" si="4"/>
        <v>0</v>
      </c>
      <c r="V28" s="12">
        <f t="shared" si="4"/>
        <v>0</v>
      </c>
      <c r="W28" s="12">
        <f t="shared" si="4"/>
        <v>0</v>
      </c>
      <c r="X28" s="12">
        <f t="shared" si="4"/>
        <v>0</v>
      </c>
      <c r="Y28" s="12">
        <f t="shared" si="4"/>
        <v>0</v>
      </c>
      <c r="Z28" s="11"/>
    </row>
    <row r="29" spans="1:28" s="8" customFormat="1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5"/>
      <c r="V29" s="7"/>
      <c r="W29" s="7"/>
      <c r="X29" s="7"/>
      <c r="Y29" s="6"/>
      <c r="Z29" s="6"/>
    </row>
    <row r="30" spans="1:28" s="13" customFormat="1" ht="15.6" x14ac:dyDescent="0.25">
      <c r="A30" s="11">
        <f>A27</f>
        <v>12</v>
      </c>
      <c r="B30" s="11" t="s">
        <v>102</v>
      </c>
      <c r="C30" s="11" t="s">
        <v>161</v>
      </c>
      <c r="D30" s="12">
        <f>D28+D25+D19+D12+D9</f>
        <v>162984020</v>
      </c>
      <c r="E30" s="12">
        <f t="shared" ref="E30:Y30" si="5">E28+E25+E19+E12+E9</f>
        <v>158206000</v>
      </c>
      <c r="F30" s="12">
        <f t="shared" si="5"/>
        <v>4778020</v>
      </c>
      <c r="G30" s="12">
        <f t="shared" si="5"/>
        <v>86313000</v>
      </c>
      <c r="H30" s="12">
        <f t="shared" si="5"/>
        <v>75354902.550000012</v>
      </c>
      <c r="I30" s="12">
        <f t="shared" si="5"/>
        <v>4572028.6400000006</v>
      </c>
      <c r="J30" s="12">
        <f t="shared" si="5"/>
        <v>784729.09</v>
      </c>
      <c r="K30" s="12">
        <f t="shared" si="5"/>
        <v>5356757.7299999995</v>
      </c>
      <c r="L30" s="12">
        <f t="shared" si="5"/>
        <v>80711660.280000001</v>
      </c>
      <c r="M30" s="12">
        <f t="shared" si="5"/>
        <v>12572359.720000003</v>
      </c>
      <c r="N30" s="12">
        <f t="shared" si="5"/>
        <v>16750000</v>
      </c>
      <c r="O30" s="12">
        <f t="shared" si="5"/>
        <v>52950000</v>
      </c>
      <c r="P30" s="12">
        <f t="shared" si="5"/>
        <v>5601339.7200000016</v>
      </c>
      <c r="Q30" s="12">
        <f t="shared" si="5"/>
        <v>350000</v>
      </c>
      <c r="R30" s="12">
        <f t="shared" si="5"/>
        <v>7155000</v>
      </c>
      <c r="S30" s="12">
        <f t="shared" si="5"/>
        <v>7505000</v>
      </c>
      <c r="T30" s="12">
        <f t="shared" si="5"/>
        <v>533980</v>
      </c>
      <c r="U30" s="12">
        <f t="shared" si="5"/>
        <v>16216020</v>
      </c>
      <c r="V30" s="12">
        <f t="shared" si="5"/>
        <v>8201060</v>
      </c>
      <c r="W30" s="12">
        <f t="shared" si="5"/>
        <v>8014960</v>
      </c>
      <c r="X30" s="12">
        <f t="shared" si="5"/>
        <v>0</v>
      </c>
      <c r="Y30" s="12">
        <f t="shared" si="5"/>
        <v>0</v>
      </c>
      <c r="Z30" s="11"/>
    </row>
    <row r="31" spans="1:28" s="8" customFormat="1" x14ac:dyDescent="0.25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>D31-L31-M31-N31</f>
        <v>0</v>
      </c>
      <c r="P31" s="7"/>
      <c r="Q31" s="7"/>
      <c r="R31" s="7"/>
      <c r="S31" s="7"/>
      <c r="T31" s="7">
        <f>P31-M31+R31</f>
        <v>0</v>
      </c>
      <c r="U31" s="15">
        <f>N31-T31</f>
        <v>0</v>
      </c>
      <c r="V31" s="7"/>
      <c r="W31" s="7"/>
      <c r="X31" s="7"/>
      <c r="Y31" s="6"/>
      <c r="Z31" s="6"/>
    </row>
    <row r="33" spans="1:28" x14ac:dyDescent="0.25">
      <c r="L33" s="68">
        <f>K30+H30</f>
        <v>80711660.280000016</v>
      </c>
      <c r="M33" s="68">
        <f>P30+S30</f>
        <v>13106339.720000003</v>
      </c>
      <c r="N33" s="18"/>
      <c r="P33" s="68">
        <f>G30-L30</f>
        <v>5601339.7199999988</v>
      </c>
    </row>
    <row r="35" spans="1:28" x14ac:dyDescent="0.25">
      <c r="Q35" s="19">
        <f>[1]כללי!$AY$18</f>
        <v>350000</v>
      </c>
    </row>
    <row r="37" spans="1:28" x14ac:dyDescent="0.25">
      <c r="P37" s="19" t="s">
        <v>518</v>
      </c>
      <c r="Q37" s="19">
        <f>[3]כללי!$AZ$17</f>
        <v>350000</v>
      </c>
    </row>
    <row r="39" spans="1:28" x14ac:dyDescent="0.25">
      <c r="R39" s="19">
        <f>'[1]ריכוז תקציבים מעבר לתוכנית 31.8'!$AD$164</f>
        <v>7155000</v>
      </c>
    </row>
    <row r="41" spans="1:28" x14ac:dyDescent="0.25">
      <c r="R41" s="19">
        <f>'[1]ריכוז תקציבים מעבר לתוכנית 31.8'!$AD$164</f>
        <v>7155000</v>
      </c>
    </row>
    <row r="43" spans="1:28" s="19" customFormat="1" x14ac:dyDescent="0.25">
      <c r="A43" s="20"/>
      <c r="B43" s="21"/>
      <c r="C43" s="21"/>
      <c r="Q43" s="19" t="s">
        <v>517</v>
      </c>
      <c r="R43" s="19">
        <v>6925000</v>
      </c>
      <c r="U43" s="77"/>
      <c r="V43" s="21"/>
      <c r="W43" s="21"/>
      <c r="X43" s="21"/>
      <c r="Y43" s="21"/>
      <c r="Z43" s="21"/>
      <c r="AA43" s="21"/>
      <c r="AB43" s="21"/>
    </row>
    <row r="44" spans="1:28" s="19" customFormat="1" x14ac:dyDescent="0.25">
      <c r="A44" s="20"/>
      <c r="B44" s="21"/>
      <c r="C44" s="21"/>
      <c r="Q44" s="19" t="s">
        <v>531</v>
      </c>
      <c r="R44" s="19">
        <f>R30-R43</f>
        <v>230000</v>
      </c>
      <c r="S44" s="19" t="s">
        <v>536</v>
      </c>
      <c r="U44" s="77"/>
      <c r="V44" s="21"/>
      <c r="W44" s="21"/>
      <c r="X44" s="21"/>
      <c r="Y44" s="21"/>
      <c r="Z44" s="21"/>
      <c r="AA44" s="21"/>
      <c r="AB44" s="21"/>
    </row>
  </sheetData>
  <sheetProtection formatCells="0" formatColumns="0" formatRows="0" insertColumns="0" insertRows="0" insertHyperlinks="0" deleteColumns="0" deleteRows="0" sort="0" autoFilter="0" pivotTables="0"/>
  <sortState ref="A8:AB19">
    <sortCondition ref="Z8:Z19"/>
  </sortState>
  <mergeCells count="2">
    <mergeCell ref="A2:W2"/>
    <mergeCell ref="A3:W3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התציב הבלתי רגיל
לשנת 2017</oddHeader>
    <oddFooter>&amp;L1/11/2016&amp;C&amp;N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3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3" style="253" customWidth="1"/>
    <col min="5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4" spans="1:17" s="404" customFormat="1" ht="18" x14ac:dyDescent="0.3">
      <c r="A4" s="403" t="s">
        <v>554</v>
      </c>
      <c r="C4" s="252" t="s">
        <v>298</v>
      </c>
    </row>
    <row r="5" spans="1:17" ht="15.6" x14ac:dyDescent="0.25">
      <c r="A5" s="258"/>
      <c r="C5" s="257"/>
      <c r="G5" s="257" t="s">
        <v>768</v>
      </c>
    </row>
    <row r="6" spans="1:17" ht="16.2" thickBot="1" x14ac:dyDescent="0.3">
      <c r="A6" s="258"/>
      <c r="C6" s="257"/>
    </row>
    <row r="7" spans="1:17" ht="16.2" thickBot="1" x14ac:dyDescent="0.3">
      <c r="A7" s="258">
        <v>3.1</v>
      </c>
      <c r="C7" s="258" t="s">
        <v>610</v>
      </c>
      <c r="D7" s="258"/>
      <c r="E7" s="258"/>
      <c r="F7" s="258"/>
      <c r="G7" s="360">
        <f>'ריכוז אגפים'!S18/1000</f>
        <v>434621.26475999999</v>
      </c>
    </row>
    <row r="8" spans="1:17" ht="16.2" thickBot="1" x14ac:dyDescent="0.3">
      <c r="A8" s="258"/>
      <c r="C8" s="258"/>
      <c r="D8" s="258"/>
      <c r="E8" s="258"/>
      <c r="F8" s="258"/>
      <c r="G8" s="265"/>
    </row>
    <row r="9" spans="1:17" ht="16.2" thickBot="1" x14ac:dyDescent="0.3">
      <c r="A9" s="258"/>
      <c r="C9" s="258" t="s">
        <v>596</v>
      </c>
      <c r="D9" s="258"/>
      <c r="E9" s="258"/>
      <c r="F9" s="258"/>
      <c r="G9" s="360">
        <f>'ריכוז אגפים'!L18/1000</f>
        <v>457461.70400000003</v>
      </c>
      <c r="I9" s="258"/>
      <c r="J9" s="258"/>
      <c r="K9" s="258"/>
      <c r="L9" s="258"/>
    </row>
    <row r="10" spans="1:17" ht="16.2" thickBot="1" x14ac:dyDescent="0.3">
      <c r="A10" s="258"/>
      <c r="C10" s="258"/>
      <c r="D10" s="258"/>
      <c r="E10" s="258"/>
      <c r="F10" s="258"/>
      <c r="G10" s="265"/>
      <c r="I10" s="258"/>
      <c r="J10" s="258"/>
      <c r="K10" s="258"/>
      <c r="L10" s="258"/>
    </row>
    <row r="11" spans="1:17" ht="16.2" thickBot="1" x14ac:dyDescent="0.3">
      <c r="A11" s="258"/>
      <c r="C11" s="258" t="s">
        <v>611</v>
      </c>
      <c r="D11" s="258"/>
      <c r="E11" s="258"/>
      <c r="F11" s="258"/>
      <c r="G11" s="360">
        <f>'ריכוז אגפים'!B18/1000</f>
        <v>3716633.8640000001</v>
      </c>
      <c r="I11" s="258"/>
      <c r="J11" s="258"/>
      <c r="K11" s="258"/>
      <c r="L11" s="258"/>
      <c r="O11" s="258"/>
      <c r="P11" s="258"/>
      <c r="Q11" s="258"/>
    </row>
    <row r="12" spans="1:17" ht="15.6" x14ac:dyDescent="0.25">
      <c r="A12" s="258"/>
      <c r="C12" s="258"/>
      <c r="D12" s="258"/>
      <c r="E12" s="258"/>
      <c r="F12" s="258"/>
      <c r="G12" s="409"/>
      <c r="I12" s="258"/>
      <c r="J12" s="258"/>
      <c r="K12" s="258"/>
      <c r="L12" s="258"/>
      <c r="O12" s="258"/>
      <c r="P12" s="258"/>
      <c r="Q12" s="258"/>
    </row>
    <row r="13" spans="1:17" ht="15.6" x14ac:dyDescent="0.25">
      <c r="A13" s="258"/>
      <c r="C13" s="258"/>
      <c r="D13" s="258"/>
      <c r="E13" s="258"/>
      <c r="F13" s="258"/>
      <c r="G13" s="409"/>
      <c r="I13" s="258"/>
      <c r="J13" s="258"/>
      <c r="K13" s="258"/>
      <c r="L13" s="258"/>
      <c r="O13" s="258"/>
      <c r="P13" s="258"/>
      <c r="Q13" s="258"/>
    </row>
    <row r="14" spans="1:17" ht="15.6" x14ac:dyDescent="0.25">
      <c r="A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O14" s="258"/>
      <c r="P14" s="258"/>
      <c r="Q14" s="258"/>
    </row>
    <row r="15" spans="1:17" ht="15.6" x14ac:dyDescent="0.25">
      <c r="A15" s="258">
        <v>3.2</v>
      </c>
      <c r="C15" s="258" t="s">
        <v>612</v>
      </c>
      <c r="D15" s="258"/>
      <c r="E15" s="258"/>
      <c r="F15" s="258"/>
      <c r="G15" s="258"/>
      <c r="H15" s="258"/>
      <c r="I15" s="258"/>
      <c r="J15" s="258"/>
      <c r="K15" s="258"/>
      <c r="L15" s="258"/>
      <c r="O15" s="258"/>
      <c r="P15" s="258"/>
      <c r="Q15" s="258"/>
    </row>
    <row r="16" spans="1:17" ht="15.6" x14ac:dyDescent="0.25">
      <c r="A16" s="258"/>
      <c r="B16" s="264" t="s">
        <v>588</v>
      </c>
      <c r="C16" s="258" t="s">
        <v>775</v>
      </c>
      <c r="D16" s="258"/>
      <c r="E16" s="258"/>
      <c r="F16" s="258"/>
      <c r="G16" s="258"/>
      <c r="H16" s="258"/>
      <c r="I16" s="258"/>
      <c r="J16" s="258"/>
      <c r="K16" s="258"/>
      <c r="L16" s="258"/>
      <c r="O16" s="258"/>
      <c r="P16" s="258"/>
      <c r="Q16" s="258"/>
    </row>
    <row r="17" spans="1:17" ht="15.6" x14ac:dyDescent="0.25">
      <c r="A17" s="258"/>
      <c r="B17" s="264" t="s">
        <v>588</v>
      </c>
      <c r="C17" s="258" t="s">
        <v>776</v>
      </c>
      <c r="D17" s="258"/>
      <c r="E17" s="258"/>
      <c r="F17" s="258"/>
      <c r="G17" s="258"/>
      <c r="H17" s="258"/>
      <c r="I17" s="258"/>
      <c r="J17" s="258"/>
      <c r="K17" s="258"/>
      <c r="L17" s="258"/>
      <c r="O17" s="258"/>
      <c r="P17" s="258"/>
      <c r="Q17" s="258"/>
    </row>
    <row r="18" spans="1:17" ht="15.6" x14ac:dyDescent="0.25">
      <c r="A18" s="258"/>
      <c r="B18" s="264" t="s">
        <v>588</v>
      </c>
      <c r="C18" s="258" t="s">
        <v>777</v>
      </c>
      <c r="D18" s="258"/>
      <c r="E18" s="258"/>
      <c r="F18" s="258"/>
      <c r="G18" s="258"/>
      <c r="H18" s="258"/>
      <c r="I18" s="258"/>
      <c r="J18" s="258"/>
      <c r="K18" s="258"/>
      <c r="L18" s="258"/>
      <c r="O18" s="258"/>
      <c r="P18" s="258"/>
      <c r="Q18" s="258"/>
    </row>
    <row r="19" spans="1:17" ht="15.6" x14ac:dyDescent="0.25">
      <c r="A19" s="258"/>
      <c r="B19" s="264" t="s">
        <v>588</v>
      </c>
      <c r="C19" s="258" t="s">
        <v>778</v>
      </c>
      <c r="D19" s="258"/>
      <c r="E19" s="258"/>
      <c r="F19" s="258"/>
      <c r="G19" s="258"/>
      <c r="H19" s="258"/>
      <c r="I19" s="258"/>
      <c r="J19" s="258"/>
      <c r="K19" s="258"/>
      <c r="L19" s="258"/>
      <c r="O19" s="258"/>
      <c r="P19" s="258"/>
      <c r="Q19" s="258"/>
    </row>
    <row r="20" spans="1:17" ht="15.6" x14ac:dyDescent="0.25">
      <c r="A20" s="258"/>
      <c r="B20" s="264" t="s">
        <v>588</v>
      </c>
      <c r="C20" s="258" t="s">
        <v>780</v>
      </c>
      <c r="D20" s="258"/>
      <c r="E20" s="258"/>
      <c r="F20" s="258"/>
      <c r="G20" s="258"/>
      <c r="H20" s="258"/>
      <c r="I20" s="258"/>
      <c r="J20" s="258"/>
      <c r="K20" s="258"/>
      <c r="L20" s="258"/>
      <c r="O20" s="258"/>
      <c r="P20" s="258"/>
      <c r="Q20" s="258"/>
    </row>
    <row r="21" spans="1:17" ht="15.6" x14ac:dyDescent="0.25">
      <c r="A21" s="258"/>
      <c r="B21" s="264" t="s">
        <v>588</v>
      </c>
      <c r="C21" s="258" t="s">
        <v>781</v>
      </c>
      <c r="D21" s="258"/>
      <c r="E21" s="258"/>
      <c r="F21" s="258"/>
      <c r="G21" s="258"/>
      <c r="H21" s="258"/>
      <c r="I21" s="258"/>
      <c r="J21" s="258"/>
      <c r="K21" s="258"/>
      <c r="L21" s="258"/>
      <c r="O21" s="258"/>
      <c r="P21" s="258"/>
      <c r="Q21" s="258"/>
    </row>
    <row r="22" spans="1:17" ht="15.6" x14ac:dyDescent="0.25">
      <c r="A22" s="258"/>
      <c r="B22" s="264" t="s">
        <v>588</v>
      </c>
      <c r="C22" s="258" t="s">
        <v>782</v>
      </c>
      <c r="D22" s="258"/>
      <c r="E22" s="258"/>
      <c r="F22" s="258"/>
      <c r="G22" s="258"/>
      <c r="H22" s="258"/>
      <c r="I22" s="258"/>
      <c r="J22" s="258"/>
      <c r="K22" s="258"/>
      <c r="L22" s="258"/>
      <c r="O22" s="258"/>
      <c r="P22" s="258"/>
      <c r="Q22" s="258"/>
    </row>
    <row r="23" spans="1:17" ht="15.6" x14ac:dyDescent="0.25">
      <c r="A23" s="258"/>
      <c r="B23" s="264" t="s">
        <v>588</v>
      </c>
      <c r="C23" s="258" t="s">
        <v>779</v>
      </c>
      <c r="D23" s="258"/>
      <c r="E23" s="258"/>
      <c r="F23" s="258"/>
      <c r="G23" s="258"/>
      <c r="H23" s="258"/>
      <c r="I23" s="258"/>
      <c r="J23" s="258"/>
      <c r="K23" s="258"/>
      <c r="L23" s="258"/>
      <c r="O23" s="258"/>
      <c r="P23" s="258"/>
      <c r="Q23" s="258"/>
    </row>
    <row r="24" spans="1:17" ht="15.6" x14ac:dyDescent="0.25">
      <c r="A24" s="258"/>
      <c r="B24" s="264" t="s">
        <v>588</v>
      </c>
      <c r="C24" s="258" t="s">
        <v>817</v>
      </c>
      <c r="D24" s="258"/>
      <c r="E24" s="258"/>
      <c r="F24" s="258"/>
      <c r="G24" s="258"/>
      <c r="H24" s="258"/>
      <c r="I24" s="258"/>
      <c r="J24" s="258"/>
      <c r="K24" s="258"/>
      <c r="L24" s="258"/>
      <c r="O24" s="258"/>
      <c r="P24" s="258"/>
      <c r="Q24" s="258"/>
    </row>
    <row r="25" spans="1:17" ht="15.6" x14ac:dyDescent="0.25">
      <c r="A25" s="258"/>
      <c r="B25" s="264" t="s">
        <v>588</v>
      </c>
      <c r="C25" s="258" t="s">
        <v>822</v>
      </c>
      <c r="D25" s="258"/>
      <c r="E25" s="258"/>
      <c r="F25" s="258"/>
      <c r="G25" s="258"/>
      <c r="H25" s="258"/>
      <c r="I25" s="258"/>
      <c r="J25" s="258"/>
      <c r="K25" s="258"/>
      <c r="L25" s="258"/>
      <c r="O25" s="258"/>
      <c r="P25" s="258"/>
      <c r="Q25" s="258"/>
    </row>
    <row r="26" spans="1:17" ht="15.6" x14ac:dyDescent="0.25">
      <c r="A26" s="258"/>
      <c r="B26" s="264" t="s">
        <v>588</v>
      </c>
      <c r="C26" s="258" t="s">
        <v>613</v>
      </c>
      <c r="D26" s="258"/>
      <c r="E26" s="258"/>
      <c r="F26" s="258"/>
      <c r="G26" s="258"/>
      <c r="H26" s="258"/>
      <c r="I26" s="258"/>
      <c r="J26" s="258"/>
      <c r="K26" s="258"/>
      <c r="L26" s="258"/>
      <c r="O26" s="258"/>
      <c r="P26" s="258"/>
      <c r="Q26" s="258"/>
    </row>
    <row r="27" spans="1:17" ht="15.6" x14ac:dyDescent="0.25">
      <c r="A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O27" s="258"/>
      <c r="P27" s="258"/>
      <c r="Q27" s="258"/>
    </row>
    <row r="28" spans="1:17" ht="15.6" x14ac:dyDescent="0.25">
      <c r="A28" s="258"/>
      <c r="N28" s="258"/>
      <c r="O28" s="258"/>
      <c r="P28" s="258"/>
      <c r="Q28" s="258"/>
    </row>
    <row r="29" spans="1:17" ht="15.6" x14ac:dyDescent="0.25">
      <c r="A29" s="258"/>
      <c r="N29" s="258"/>
      <c r="O29" s="258"/>
      <c r="P29" s="258"/>
      <c r="Q29" s="258"/>
    </row>
    <row r="30" spans="1:17" ht="15.6" x14ac:dyDescent="0.25">
      <c r="A30" s="258"/>
      <c r="B30" s="267"/>
      <c r="C30" s="267"/>
      <c r="D30" s="26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</row>
    <row r="31" spans="1:17" ht="15.6" x14ac:dyDescent="0.25">
      <c r="A31" s="267"/>
      <c r="B31" s="267"/>
      <c r="C31" s="267"/>
      <c r="D31" s="267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</row>
    <row r="32" spans="1:17" ht="15.6" x14ac:dyDescent="0.25"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</row>
    <row r="33" spans="5:17" ht="15.6" x14ac:dyDescent="0.25"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</row>
  </sheetData>
  <sheetProtection algorithmName="SHA-512" hashValue="sLlQ1u3/9sthdaQHeL7rGdNsdzhM+Fx2Xa82NcpM9WSL9PWPwcZwtdZhE5B4EpEQXuaxV3ihZ+jsHExKoEud0A==" saltValue="OY0IahkLl6fvjL8iLf6lAg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5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3" style="253" customWidth="1"/>
    <col min="5" max="8" width="12.109375" style="253" customWidth="1"/>
    <col min="9" max="9" width="12.109375" style="253" hidden="1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4" spans="1:17" ht="15.6" x14ac:dyDescent="0.25">
      <c r="A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O4" s="258"/>
      <c r="P4" s="258"/>
      <c r="Q4" s="258"/>
    </row>
    <row r="5" spans="1:17" ht="15.6" x14ac:dyDescent="0.25">
      <c r="A5" s="258">
        <v>3.3</v>
      </c>
      <c r="C5" s="258" t="s">
        <v>823</v>
      </c>
      <c r="D5" s="258"/>
      <c r="E5" s="258"/>
      <c r="F5" s="258"/>
      <c r="G5" s="258"/>
      <c r="H5" s="258"/>
      <c r="I5" s="258"/>
      <c r="J5" s="258"/>
      <c r="K5" s="258"/>
      <c r="L5" s="258"/>
      <c r="O5" s="258"/>
      <c r="P5" s="258"/>
      <c r="Q5" s="258"/>
    </row>
    <row r="6" spans="1:17" ht="16.2" thickBot="1" x14ac:dyDescent="0.3">
      <c r="A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O6" s="258"/>
      <c r="P6" s="258"/>
      <c r="Q6" s="258"/>
    </row>
    <row r="7" spans="1:17" ht="20.100000000000001" customHeight="1" x14ac:dyDescent="0.25">
      <c r="A7" s="258"/>
      <c r="C7" s="283" t="s">
        <v>614</v>
      </c>
      <c r="D7" s="284"/>
      <c r="E7" s="285"/>
      <c r="F7" s="286" t="s">
        <v>615</v>
      </c>
      <c r="G7" s="287" t="s">
        <v>616</v>
      </c>
      <c r="O7" s="258"/>
      <c r="P7" s="258"/>
      <c r="Q7" s="258"/>
    </row>
    <row r="8" spans="1:17" ht="20.100000000000001" customHeight="1" x14ac:dyDescent="0.25">
      <c r="A8" s="258"/>
      <c r="C8" s="288" t="s">
        <v>617</v>
      </c>
      <c r="D8" s="278"/>
      <c r="E8" s="279"/>
      <c r="F8" s="274">
        <f>'ריכוז פרקים'!S8/1000</f>
        <v>261941.394</v>
      </c>
      <c r="G8" s="421">
        <v>189897</v>
      </c>
      <c r="I8" s="405">
        <f>F8/$F$19</f>
        <v>0.60268885864258237</v>
      </c>
      <c r="O8" s="258"/>
      <c r="P8" s="258"/>
      <c r="Q8" s="258"/>
    </row>
    <row r="9" spans="1:17" ht="20.100000000000001" customHeight="1" x14ac:dyDescent="0.25">
      <c r="A9" s="258"/>
      <c r="C9" s="288" t="s">
        <v>618</v>
      </c>
      <c r="D9" s="277"/>
      <c r="E9" s="279"/>
      <c r="F9" s="274">
        <f>'ריכוז פרקים'!S11/1000</f>
        <v>113548.697</v>
      </c>
      <c r="G9" s="421">
        <v>114891</v>
      </c>
      <c r="I9" s="405">
        <f t="shared" ref="I9:I18" si="0">F9/$F$19</f>
        <v>0.26125895396006948</v>
      </c>
      <c r="O9" s="258"/>
      <c r="P9" s="258"/>
      <c r="Q9" s="258"/>
    </row>
    <row r="10" spans="1:17" ht="20.100000000000001" customHeight="1" x14ac:dyDescent="0.25">
      <c r="A10" s="258"/>
      <c r="C10" s="289" t="s">
        <v>619</v>
      </c>
      <c r="D10" s="281"/>
      <c r="E10" s="276"/>
      <c r="F10" s="274">
        <f>'ריכוז פרקים'!S16/1000</f>
        <v>4670</v>
      </c>
      <c r="G10" s="421">
        <v>37127</v>
      </c>
      <c r="I10" s="405">
        <f t="shared" si="0"/>
        <v>1.0744987368666366E-2</v>
      </c>
      <c r="O10" s="258"/>
      <c r="P10" s="258"/>
      <c r="Q10" s="258"/>
    </row>
    <row r="11" spans="1:17" ht="20.100000000000001" customHeight="1" x14ac:dyDescent="0.25">
      <c r="A11" s="258"/>
      <c r="C11" s="288" t="s">
        <v>620</v>
      </c>
      <c r="D11" s="278"/>
      <c r="E11" s="279"/>
      <c r="F11" s="274">
        <f>'ריכוז פרקים'!S15/1000</f>
        <v>11500</v>
      </c>
      <c r="G11" s="421">
        <v>10180</v>
      </c>
      <c r="I11" s="405">
        <f t="shared" si="0"/>
        <v>2.6459819002069208E-2</v>
      </c>
      <c r="O11" s="258"/>
      <c r="P11" s="258"/>
      <c r="Q11" s="258"/>
    </row>
    <row r="12" spans="1:17" ht="20.100000000000001" customHeight="1" x14ac:dyDescent="0.25">
      <c r="A12" s="258"/>
      <c r="C12" s="289" t="s">
        <v>225</v>
      </c>
      <c r="D12" s="280"/>
      <c r="E12" s="276"/>
      <c r="F12" s="274">
        <f>'ריכוז פרקים'!S9/1000</f>
        <v>1750</v>
      </c>
      <c r="G12" s="421">
        <v>3470</v>
      </c>
      <c r="I12" s="405">
        <f t="shared" si="0"/>
        <v>4.0264941959670536E-3</v>
      </c>
      <c r="O12" s="258"/>
      <c r="P12" s="258"/>
      <c r="Q12" s="258"/>
    </row>
    <row r="13" spans="1:17" ht="20.100000000000001" customHeight="1" x14ac:dyDescent="0.25">
      <c r="A13" s="258"/>
      <c r="C13" s="288" t="s">
        <v>621</v>
      </c>
      <c r="D13" s="278"/>
      <c r="E13" s="279"/>
      <c r="F13" s="274">
        <f>'ריכוז פרקים'!S7/1000</f>
        <v>21722.794999999998</v>
      </c>
      <c r="G13" s="421">
        <v>22725</v>
      </c>
      <c r="I13" s="405">
        <f t="shared" si="0"/>
        <v>4.998097599296121E-2</v>
      </c>
      <c r="O13" s="258"/>
      <c r="P13" s="258"/>
      <c r="Q13" s="258"/>
    </row>
    <row r="14" spans="1:17" ht="20.100000000000001" customHeight="1" x14ac:dyDescent="0.25">
      <c r="A14" s="258"/>
      <c r="C14" s="288" t="s">
        <v>622</v>
      </c>
      <c r="D14" s="277"/>
      <c r="E14" s="279"/>
      <c r="F14" s="274">
        <f>'ריכוז פרקים'!S6/1000</f>
        <v>288</v>
      </c>
      <c r="G14" s="421">
        <v>150</v>
      </c>
      <c r="I14" s="405">
        <f t="shared" si="0"/>
        <v>6.6264590196486359E-4</v>
      </c>
      <c r="O14" s="258"/>
      <c r="P14" s="258"/>
      <c r="Q14" s="258"/>
    </row>
    <row r="15" spans="1:17" ht="20.100000000000001" customHeight="1" x14ac:dyDescent="0.25">
      <c r="A15" s="258"/>
      <c r="C15" s="288" t="s">
        <v>623</v>
      </c>
      <c r="D15" s="277"/>
      <c r="E15" s="279"/>
      <c r="F15" s="274">
        <f>'ריכוז פרקים'!S10/1000</f>
        <v>9229.9997600000006</v>
      </c>
      <c r="G15" s="421">
        <v>6215</v>
      </c>
      <c r="I15" s="405">
        <f t="shared" si="0"/>
        <v>2.1236880264238457E-2</v>
      </c>
      <c r="O15" s="258"/>
      <c r="P15" s="258"/>
      <c r="Q15" s="258"/>
    </row>
    <row r="16" spans="1:17" ht="20.100000000000001" customHeight="1" x14ac:dyDescent="0.25">
      <c r="A16" s="258"/>
      <c r="C16" s="288" t="s">
        <v>624</v>
      </c>
      <c r="D16" s="278"/>
      <c r="E16" s="279"/>
      <c r="F16" s="274">
        <f>'ריכוז פרקים'!S12/1000</f>
        <v>3700</v>
      </c>
      <c r="G16" s="421">
        <v>2550</v>
      </c>
      <c r="I16" s="405">
        <f t="shared" si="0"/>
        <v>8.5131591571874846E-3</v>
      </c>
      <c r="O16" s="258"/>
      <c r="P16" s="258"/>
      <c r="Q16" s="258"/>
    </row>
    <row r="17" spans="1:17" ht="20.100000000000001" customHeight="1" x14ac:dyDescent="0.25">
      <c r="A17" s="258"/>
      <c r="C17" s="288" t="s">
        <v>764</v>
      </c>
      <c r="D17" s="278"/>
      <c r="E17" s="279"/>
      <c r="F17" s="274">
        <f>'ריכוז פרקים'!S14/1000</f>
        <v>4274.32</v>
      </c>
      <c r="G17" s="421">
        <v>2500</v>
      </c>
      <c r="I17" s="405">
        <f t="shared" si="0"/>
        <v>9.8345855266890828E-3</v>
      </c>
      <c r="N17" s="282"/>
      <c r="O17" s="258"/>
      <c r="P17" s="258"/>
      <c r="Q17" s="258"/>
    </row>
    <row r="18" spans="1:17" ht="20.100000000000001" customHeight="1" x14ac:dyDescent="0.25">
      <c r="A18" s="258"/>
      <c r="C18" s="288" t="s">
        <v>227</v>
      </c>
      <c r="D18" s="278"/>
      <c r="E18" s="279"/>
      <c r="F18" s="274">
        <f>'ריכוז פרקים'!S13/1000</f>
        <v>1996.059</v>
      </c>
      <c r="G18" s="421">
        <v>1473</v>
      </c>
      <c r="I18" s="405">
        <f t="shared" si="0"/>
        <v>4.5926399876044573E-3</v>
      </c>
      <c r="O18" s="258"/>
      <c r="P18" s="258"/>
      <c r="Q18" s="258"/>
    </row>
    <row r="19" spans="1:17" ht="20.100000000000001" customHeight="1" thickBot="1" x14ac:dyDescent="0.3">
      <c r="A19" s="258"/>
      <c r="C19" s="350" t="s">
        <v>248</v>
      </c>
      <c r="D19" s="422"/>
      <c r="E19" s="345"/>
      <c r="F19" s="423">
        <f>SUM(F8:F18)</f>
        <v>434621.26475999999</v>
      </c>
      <c r="G19" s="293">
        <f>SUM(G8:G18)</f>
        <v>391178</v>
      </c>
      <c r="I19" s="407">
        <f>SUM(I8:I18)</f>
        <v>1</v>
      </c>
      <c r="O19" s="258"/>
      <c r="P19" s="258"/>
      <c r="Q19" s="258"/>
    </row>
    <row r="20" spans="1:17" ht="15.6" x14ac:dyDescent="0.25">
      <c r="A20" s="258"/>
      <c r="N20" s="258"/>
      <c r="O20" s="258"/>
      <c r="P20" s="258"/>
      <c r="Q20" s="258"/>
    </row>
    <row r="21" spans="1:17" ht="15.6" x14ac:dyDescent="0.25">
      <c r="A21" s="258"/>
      <c r="N21" s="258"/>
      <c r="O21" s="258"/>
      <c r="P21" s="258"/>
      <c r="Q21" s="258"/>
    </row>
    <row r="22" spans="1:17" ht="15.6" x14ac:dyDescent="0.25">
      <c r="A22" s="258"/>
      <c r="B22" s="267"/>
      <c r="C22" s="267"/>
      <c r="D22" s="267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5.6" x14ac:dyDescent="0.25">
      <c r="A23" s="267"/>
      <c r="B23" s="267"/>
      <c r="C23" s="267"/>
      <c r="D23" s="267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1:17" ht="15.6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  <row r="25" spans="1:17" ht="15.6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</sheetData>
  <sheetProtection algorithmName="SHA-512" hashValue="qEvU0u9ywtFVMHX8CLzzB4tkUwazu8EHAgNwT/4wgelxv7D+2vuGvJ3n9Q4eH4lD9r7G5PPSBdC8ZJsKgM/esw==" saltValue="ZCcJXCvytPl3+rG+g7BF2w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5"/>
  <sheetViews>
    <sheetView rightToLeft="1" topLeftCell="A10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3" style="253" customWidth="1"/>
    <col min="5" max="8" width="12.109375" style="253" customWidth="1"/>
    <col min="9" max="9" width="7.88671875" style="253" customWidth="1"/>
    <col min="10" max="10" width="0" style="253" hidden="1" customWidth="1"/>
    <col min="11" max="16384" width="9.109375" style="253"/>
  </cols>
  <sheetData>
    <row r="3" spans="1:16" ht="15.6" x14ac:dyDescent="0.25">
      <c r="A3" s="258">
        <v>3.4</v>
      </c>
      <c r="C3" s="258" t="s">
        <v>784</v>
      </c>
    </row>
    <row r="4" spans="1:16" ht="16.2" thickBot="1" x14ac:dyDescent="0.3">
      <c r="A4" s="258"/>
      <c r="H4" s="258"/>
      <c r="I4" s="258"/>
      <c r="J4" s="258"/>
      <c r="K4" s="258"/>
      <c r="N4" s="258"/>
      <c r="O4" s="258"/>
      <c r="P4" s="258"/>
    </row>
    <row r="5" spans="1:16" ht="20.100000000000001" customHeight="1" x14ac:dyDescent="0.25">
      <c r="A5" s="258"/>
      <c r="C5" s="283" t="s">
        <v>614</v>
      </c>
      <c r="D5" s="284"/>
      <c r="E5" s="285"/>
      <c r="F5" s="286" t="s">
        <v>615</v>
      </c>
      <c r="G5" s="287" t="s">
        <v>616</v>
      </c>
      <c r="N5" s="258"/>
      <c r="O5" s="258"/>
      <c r="P5" s="258"/>
    </row>
    <row r="6" spans="1:16" ht="20.100000000000001" customHeight="1" x14ac:dyDescent="0.25">
      <c r="A6" s="258"/>
      <c r="C6" s="288" t="s">
        <v>491</v>
      </c>
      <c r="D6" s="278"/>
      <c r="E6" s="279"/>
      <c r="F6" s="355">
        <f>'ריכוז אגפים'!S5/1000</f>
        <v>17494.931</v>
      </c>
      <c r="G6" s="348">
        <v>193328</v>
      </c>
      <c r="J6" s="405">
        <f>F6/$F$19</f>
        <v>4.025327893162519E-2</v>
      </c>
      <c r="N6" s="258"/>
      <c r="O6" s="258"/>
      <c r="P6" s="258"/>
    </row>
    <row r="7" spans="1:16" ht="20.100000000000001" customHeight="1" x14ac:dyDescent="0.25">
      <c r="A7" s="258"/>
      <c r="C7" s="288" t="s">
        <v>265</v>
      </c>
      <c r="D7" s="277"/>
      <c r="E7" s="279"/>
      <c r="F7" s="355">
        <f>'ריכוז אגפים'!S6/1000</f>
        <v>331656.81599999999</v>
      </c>
      <c r="G7" s="348">
        <v>94737</v>
      </c>
      <c r="J7" s="405">
        <f t="shared" ref="J7:J18" si="0">F7/$F$19</f>
        <v>0.76309385410109309</v>
      </c>
      <c r="N7" s="258"/>
      <c r="O7" s="258"/>
      <c r="P7" s="258"/>
    </row>
    <row r="8" spans="1:16" ht="20.100000000000001" customHeight="1" x14ac:dyDescent="0.25">
      <c r="A8" s="258"/>
      <c r="C8" s="288" t="s">
        <v>238</v>
      </c>
      <c r="D8" s="278"/>
      <c r="E8" s="279"/>
      <c r="F8" s="355">
        <f>'ריכוז אגפים'!S7/1000</f>
        <v>24019</v>
      </c>
      <c r="G8" s="348">
        <v>42673</v>
      </c>
      <c r="J8" s="405">
        <f t="shared" si="0"/>
        <v>5.5264208053104377E-2</v>
      </c>
      <c r="N8" s="258"/>
      <c r="O8" s="258"/>
      <c r="P8" s="258"/>
    </row>
    <row r="9" spans="1:16" ht="20.100000000000001" customHeight="1" x14ac:dyDescent="0.25">
      <c r="A9" s="258"/>
      <c r="C9" s="288" t="s">
        <v>625</v>
      </c>
      <c r="D9" s="278"/>
      <c r="E9" s="279"/>
      <c r="F9" s="355">
        <f>'ריכוז אגפים'!S8/1000</f>
        <v>500</v>
      </c>
      <c r="G9" s="348">
        <v>750</v>
      </c>
      <c r="J9" s="405">
        <f t="shared" si="0"/>
        <v>1.1504269131334438E-3</v>
      </c>
      <c r="N9" s="258"/>
      <c r="O9" s="258"/>
      <c r="P9" s="258"/>
    </row>
    <row r="10" spans="1:16" ht="20.100000000000001" customHeight="1" x14ac:dyDescent="0.25">
      <c r="A10" s="258"/>
      <c r="C10" s="288" t="s">
        <v>573</v>
      </c>
      <c r="D10" s="277"/>
      <c r="E10" s="279"/>
      <c r="F10" s="355">
        <f>'ריכוז אגפים'!S9/1000</f>
        <v>2255.0790000000002</v>
      </c>
      <c r="G10" s="348">
        <v>3443</v>
      </c>
      <c r="J10" s="405">
        <f t="shared" si="0"/>
        <v>5.1886071456841067E-3</v>
      </c>
      <c r="N10" s="258"/>
      <c r="O10" s="258"/>
      <c r="P10" s="258"/>
    </row>
    <row r="11" spans="1:16" ht="20.100000000000001" customHeight="1" x14ac:dyDescent="0.25">
      <c r="A11" s="258"/>
      <c r="C11" s="289" t="s">
        <v>626</v>
      </c>
      <c r="D11" s="281"/>
      <c r="E11" s="276"/>
      <c r="F11" s="355">
        <f>'ריכוז אגפים'!S10/1000</f>
        <v>14614.32</v>
      </c>
      <c r="G11" s="348">
        <v>10465</v>
      </c>
      <c r="J11" s="405">
        <f t="shared" si="0"/>
        <v>3.3625414090288699E-2</v>
      </c>
      <c r="N11" s="258"/>
      <c r="O11" s="258"/>
      <c r="P11" s="258"/>
    </row>
    <row r="12" spans="1:16" ht="20.100000000000001" customHeight="1" x14ac:dyDescent="0.25">
      <c r="A12" s="258"/>
      <c r="C12" s="288" t="s">
        <v>627</v>
      </c>
      <c r="D12" s="277"/>
      <c r="E12" s="279"/>
      <c r="F12" s="355">
        <f>'ריכוז אגפים'!S11/1000</f>
        <v>1650</v>
      </c>
      <c r="G12" s="348">
        <v>3470</v>
      </c>
      <c r="J12" s="405">
        <f t="shared" si="0"/>
        <v>3.7964088133403645E-3</v>
      </c>
      <c r="N12" s="258"/>
      <c r="O12" s="258"/>
      <c r="P12" s="258"/>
    </row>
    <row r="13" spans="1:16" ht="20.100000000000001" customHeight="1" x14ac:dyDescent="0.25">
      <c r="A13" s="258"/>
      <c r="C13" s="288" t="s">
        <v>227</v>
      </c>
      <c r="D13" s="277"/>
      <c r="E13" s="279"/>
      <c r="F13" s="355">
        <f>'ריכוז אגפים'!S12/1000</f>
        <v>-2852.9409999999998</v>
      </c>
      <c r="G13" s="425">
        <v>195</v>
      </c>
      <c r="J13" s="405">
        <f t="shared" si="0"/>
        <v>-6.5642002159636802E-3</v>
      </c>
      <c r="N13" s="258"/>
      <c r="O13" s="258"/>
      <c r="P13" s="258"/>
    </row>
    <row r="14" spans="1:16" ht="20.100000000000001" customHeight="1" x14ac:dyDescent="0.25">
      <c r="A14" s="258"/>
      <c r="C14" s="288" t="s">
        <v>243</v>
      </c>
      <c r="D14" s="278"/>
      <c r="E14" s="279"/>
      <c r="F14" s="355">
        <f>'ריכוז אגפים'!S13/1000</f>
        <v>10175.040000000001</v>
      </c>
      <c r="G14" s="348">
        <v>3730</v>
      </c>
      <c r="J14" s="405">
        <f t="shared" si="0"/>
        <v>2.3411279716418633E-2</v>
      </c>
      <c r="N14" s="258"/>
      <c r="O14" s="258"/>
      <c r="P14" s="258"/>
    </row>
    <row r="15" spans="1:16" ht="20.100000000000001" customHeight="1" x14ac:dyDescent="0.25">
      <c r="A15" s="258"/>
      <c r="C15" s="289" t="s">
        <v>628</v>
      </c>
      <c r="D15" s="281"/>
      <c r="E15" s="276"/>
      <c r="F15" s="355">
        <f>'ריכוז אגפים'!S14/1000</f>
        <v>4697.9997599999997</v>
      </c>
      <c r="G15" s="348">
        <v>4785</v>
      </c>
      <c r="J15" s="405">
        <f t="shared" si="0"/>
        <v>1.0809410723596919E-2</v>
      </c>
      <c r="M15" s="282"/>
      <c r="N15" s="258"/>
      <c r="O15" s="258"/>
      <c r="P15" s="258"/>
    </row>
    <row r="16" spans="1:16" ht="20.100000000000001" customHeight="1" x14ac:dyDescent="0.25">
      <c r="A16" s="258"/>
      <c r="C16" s="288" t="s">
        <v>271</v>
      </c>
      <c r="D16" s="278"/>
      <c r="E16" s="279"/>
      <c r="F16" s="355">
        <f>'ריכוז אגפים'!S15/1000</f>
        <v>2645</v>
      </c>
      <c r="G16" s="348">
        <v>12330</v>
      </c>
      <c r="J16" s="405">
        <f t="shared" si="0"/>
        <v>6.0857583704759174E-3</v>
      </c>
      <c r="N16" s="258"/>
      <c r="O16" s="258"/>
      <c r="P16" s="258"/>
    </row>
    <row r="17" spans="1:16" ht="20.100000000000001" customHeight="1" x14ac:dyDescent="0.25">
      <c r="A17" s="258"/>
      <c r="C17" s="288" t="s">
        <v>629</v>
      </c>
      <c r="D17" s="278"/>
      <c r="E17" s="279"/>
      <c r="F17" s="355">
        <f>'ריכוז אגפים'!S16/1000</f>
        <v>11550</v>
      </c>
      <c r="G17" s="348">
        <v>10230</v>
      </c>
      <c r="J17" s="405">
        <f t="shared" si="0"/>
        <v>2.6574861693382551E-2</v>
      </c>
      <c r="N17" s="258"/>
      <c r="O17" s="258"/>
      <c r="P17" s="258"/>
    </row>
    <row r="18" spans="1:16" ht="20.100000000000001" customHeight="1" x14ac:dyDescent="0.25">
      <c r="A18" s="258"/>
      <c r="C18" s="288" t="s">
        <v>273</v>
      </c>
      <c r="D18" s="278"/>
      <c r="E18" s="279"/>
      <c r="F18" s="355">
        <f>'ריכוז אגפים'!S17/1000</f>
        <v>16216.02</v>
      </c>
      <c r="G18" s="348">
        <v>11042</v>
      </c>
      <c r="J18" s="405">
        <f t="shared" si="0"/>
        <v>3.7310691663820374E-2</v>
      </c>
      <c r="N18" s="258"/>
      <c r="O18" s="258"/>
      <c r="P18" s="258"/>
    </row>
    <row r="19" spans="1:16" ht="20.100000000000001" customHeight="1" thickBot="1" x14ac:dyDescent="0.3">
      <c r="A19" s="258"/>
      <c r="C19" s="290" t="s">
        <v>248</v>
      </c>
      <c r="D19" s="291"/>
      <c r="E19" s="292"/>
      <c r="F19" s="424">
        <f>SUM(F6:F18)</f>
        <v>434621.26475999999</v>
      </c>
      <c r="G19" s="426">
        <f>SUM(G6:G18)</f>
        <v>391178</v>
      </c>
      <c r="J19" s="406">
        <f>SUM(J6:J18)</f>
        <v>1</v>
      </c>
      <c r="N19" s="258"/>
      <c r="O19" s="258"/>
      <c r="P19" s="258"/>
    </row>
    <row r="20" spans="1:16" ht="20.100000000000001" customHeight="1" x14ac:dyDescent="0.25">
      <c r="A20" s="258"/>
      <c r="C20" s="294"/>
      <c r="D20" s="265"/>
      <c r="E20" s="295"/>
      <c r="F20" s="296"/>
      <c r="G20" s="296"/>
      <c r="N20" s="258"/>
      <c r="O20" s="258"/>
      <c r="P20" s="258"/>
    </row>
    <row r="21" spans="1:16" ht="15.6" x14ac:dyDescent="0.25">
      <c r="A21" s="258">
        <v>3.5</v>
      </c>
      <c r="C21" s="258" t="s">
        <v>630</v>
      </c>
    </row>
    <row r="22" spans="1:16" ht="16.2" thickBot="1" x14ac:dyDescent="0.3">
      <c r="A22" s="258"/>
      <c r="H22" s="258"/>
      <c r="I22" s="258"/>
      <c r="J22" s="258"/>
      <c r="K22" s="258"/>
      <c r="N22" s="258"/>
      <c r="O22" s="258"/>
      <c r="P22" s="258"/>
    </row>
    <row r="23" spans="1:16" ht="20.100000000000001" customHeight="1" x14ac:dyDescent="0.25">
      <c r="A23" s="258"/>
      <c r="C23" s="283" t="s">
        <v>631</v>
      </c>
      <c r="D23" s="284"/>
      <c r="E23" s="285"/>
      <c r="F23" s="286" t="s">
        <v>615</v>
      </c>
      <c r="G23" s="349" t="s">
        <v>632</v>
      </c>
      <c r="J23" s="405"/>
      <c r="M23" s="258"/>
      <c r="N23" s="258"/>
      <c r="O23" s="258"/>
    </row>
    <row r="24" spans="1:16" ht="20.100000000000001" customHeight="1" x14ac:dyDescent="0.25">
      <c r="A24" s="258"/>
      <c r="C24" s="288" t="s">
        <v>633</v>
      </c>
      <c r="D24" s="278"/>
      <c r="E24" s="279"/>
      <c r="F24" s="355">
        <f>'תקציב 2017 קרנות הרשות'!C19</f>
        <v>163255</v>
      </c>
      <c r="G24" s="348">
        <v>241972</v>
      </c>
      <c r="J24" s="405">
        <f>F24/$F$28</f>
        <v>0.37562589119977824</v>
      </c>
      <c r="M24" s="258"/>
      <c r="N24" s="258"/>
      <c r="O24" s="258"/>
    </row>
    <row r="25" spans="1:16" ht="20.100000000000001" customHeight="1" x14ac:dyDescent="0.25">
      <c r="A25" s="258"/>
      <c r="C25" s="288" t="s">
        <v>14</v>
      </c>
      <c r="D25" s="277"/>
      <c r="E25" s="279"/>
      <c r="F25" s="355">
        <f>'תקציב 2017 קרנות הרשות'!D19</f>
        <v>35000</v>
      </c>
      <c r="G25" s="348">
        <v>30300</v>
      </c>
      <c r="J25" s="405">
        <f>F25/$F$28</f>
        <v>8.052988387487206E-2</v>
      </c>
      <c r="M25" s="258"/>
      <c r="N25" s="258"/>
      <c r="O25" s="258"/>
    </row>
    <row r="26" spans="1:16" ht="20.100000000000001" customHeight="1" x14ac:dyDescent="0.25">
      <c r="A26" s="258"/>
      <c r="C26" s="288" t="s">
        <v>634</v>
      </c>
      <c r="D26" s="278"/>
      <c r="E26" s="279"/>
      <c r="F26" s="355"/>
      <c r="G26" s="348">
        <v>2900</v>
      </c>
      <c r="J26" s="405">
        <f>F26/$F$28</f>
        <v>0</v>
      </c>
      <c r="M26" s="258"/>
      <c r="N26" s="258"/>
      <c r="O26" s="258"/>
    </row>
    <row r="27" spans="1:16" ht="20.100000000000001" customHeight="1" x14ac:dyDescent="0.25">
      <c r="A27" s="258"/>
      <c r="C27" s="288" t="s">
        <v>635</v>
      </c>
      <c r="D27" s="297"/>
      <c r="E27" s="298"/>
      <c r="F27" s="355">
        <f>'פרוט מקורות אחרים'!Q16/1000</f>
        <v>236366.26500000001</v>
      </c>
      <c r="G27" s="348">
        <v>116006</v>
      </c>
      <c r="J27" s="405">
        <f>F27/$F$28</f>
        <v>0.54384422492534967</v>
      </c>
      <c r="L27" s="282"/>
      <c r="M27" s="258"/>
      <c r="N27" s="258"/>
      <c r="O27" s="258"/>
    </row>
    <row r="28" spans="1:16" ht="20.100000000000001" customHeight="1" thickBot="1" x14ac:dyDescent="0.3">
      <c r="A28" s="258"/>
      <c r="C28" s="290" t="s">
        <v>248</v>
      </c>
      <c r="D28" s="291"/>
      <c r="E28" s="292"/>
      <c r="F28" s="423">
        <f>SUM(F24:F27)</f>
        <v>434621.26500000001</v>
      </c>
      <c r="G28" s="344">
        <f>SUM(G24:G27)</f>
        <v>391178</v>
      </c>
      <c r="J28" s="408">
        <f>SUM(J24:J27)</f>
        <v>1</v>
      </c>
      <c r="M28" s="258"/>
      <c r="N28" s="258"/>
      <c r="O28" s="258"/>
    </row>
    <row r="29" spans="1:16" ht="17.399999999999999" x14ac:dyDescent="0.25">
      <c r="A29" s="258"/>
      <c r="C29" s="257"/>
      <c r="D29" s="258"/>
      <c r="F29" s="270"/>
      <c r="G29" s="270"/>
      <c r="N29" s="258"/>
      <c r="O29" s="258"/>
      <c r="P29" s="258"/>
    </row>
    <row r="30" spans="1:16" ht="15.6" x14ac:dyDescent="0.25">
      <c r="A30" s="258"/>
      <c r="M30" s="258"/>
      <c r="N30" s="258"/>
      <c r="O30" s="258"/>
      <c r="P30" s="258"/>
    </row>
    <row r="31" spans="1:16" ht="15.6" x14ac:dyDescent="0.25">
      <c r="A31" s="258"/>
      <c r="M31" s="258"/>
      <c r="N31" s="258"/>
      <c r="O31" s="258"/>
      <c r="P31" s="258"/>
    </row>
    <row r="32" spans="1:16" ht="15.6" x14ac:dyDescent="0.25">
      <c r="A32" s="258"/>
      <c r="B32" s="267"/>
      <c r="C32" s="267"/>
      <c r="D32" s="267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</row>
    <row r="33" spans="1:16" ht="15.6" x14ac:dyDescent="0.25">
      <c r="A33" s="267"/>
      <c r="B33" s="267"/>
      <c r="C33" s="267"/>
      <c r="D33" s="267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</row>
    <row r="34" spans="1:16" ht="15.6" x14ac:dyDescent="0.25"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</row>
    <row r="35" spans="1:16" ht="15.6" x14ac:dyDescent="0.25"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</row>
  </sheetData>
  <sheetProtection algorithmName="SHA-512" hashValue="FMXFEFqpX/Ohj0zd9J3GoVt1oCzt7t1ZuSPiZXTwuTgktPG2xfq8urXhpAHmkKqWlMitV20sQx9jP/fCbR+9fw==" saltValue="ZpFiQ1r+L1WWWB09SHI0JA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Zeros="0" rightToLeft="1" workbookViewId="0">
      <selection activeCell="E28" sqref="E28"/>
    </sheetView>
  </sheetViews>
  <sheetFormatPr defaultRowHeight="15.6" x14ac:dyDescent="0.3"/>
  <cols>
    <col min="1" max="1" width="3.44140625" style="299" customWidth="1"/>
    <col min="2" max="2" width="37.33203125" style="299" bestFit="1" customWidth="1"/>
    <col min="3" max="3" width="16.44140625" style="301" bestFit="1" customWidth="1"/>
    <col min="4" max="4" width="19.88671875" style="301" bestFit="1" customWidth="1"/>
    <col min="5" max="5" width="13.44140625" style="301" customWidth="1"/>
    <col min="6" max="6" width="16.44140625" style="301" bestFit="1" customWidth="1"/>
    <col min="7" max="7" width="19.88671875" style="301" bestFit="1" customWidth="1"/>
    <col min="8" max="8" width="12.44140625" style="301" customWidth="1"/>
    <col min="9" max="10" width="9.109375" style="299"/>
    <col min="11" max="15" width="0" style="299" hidden="1" customWidth="1"/>
    <col min="16" max="256" width="9.109375" style="299"/>
    <col min="257" max="257" width="3.44140625" style="299" customWidth="1"/>
    <col min="258" max="258" width="37.33203125" style="299" bestFit="1" customWidth="1"/>
    <col min="259" max="259" width="16.44140625" style="299" bestFit="1" customWidth="1"/>
    <col min="260" max="260" width="19.88671875" style="299" bestFit="1" customWidth="1"/>
    <col min="261" max="261" width="13.44140625" style="299" customWidth="1"/>
    <col min="262" max="262" width="16.44140625" style="299" bestFit="1" customWidth="1"/>
    <col min="263" max="263" width="19.88671875" style="299" bestFit="1" customWidth="1"/>
    <col min="264" max="264" width="12.44140625" style="299" customWidth="1"/>
    <col min="265" max="512" width="9.109375" style="299"/>
    <col min="513" max="513" width="3.44140625" style="299" customWidth="1"/>
    <col min="514" max="514" width="37.33203125" style="299" bestFit="1" customWidth="1"/>
    <col min="515" max="515" width="16.44140625" style="299" bestFit="1" customWidth="1"/>
    <col min="516" max="516" width="19.88671875" style="299" bestFit="1" customWidth="1"/>
    <col min="517" max="517" width="13.44140625" style="299" customWidth="1"/>
    <col min="518" max="518" width="16.44140625" style="299" bestFit="1" customWidth="1"/>
    <col min="519" max="519" width="19.88671875" style="299" bestFit="1" customWidth="1"/>
    <col min="520" max="520" width="12.44140625" style="299" customWidth="1"/>
    <col min="521" max="768" width="9.109375" style="299"/>
    <col min="769" max="769" width="3.44140625" style="299" customWidth="1"/>
    <col min="770" max="770" width="37.33203125" style="299" bestFit="1" customWidth="1"/>
    <col min="771" max="771" width="16.44140625" style="299" bestFit="1" customWidth="1"/>
    <col min="772" max="772" width="19.88671875" style="299" bestFit="1" customWidth="1"/>
    <col min="773" max="773" width="13.44140625" style="299" customWidth="1"/>
    <col min="774" max="774" width="16.44140625" style="299" bestFit="1" customWidth="1"/>
    <col min="775" max="775" width="19.88671875" style="299" bestFit="1" customWidth="1"/>
    <col min="776" max="776" width="12.44140625" style="299" customWidth="1"/>
    <col min="777" max="1024" width="9.109375" style="299"/>
    <col min="1025" max="1025" width="3.44140625" style="299" customWidth="1"/>
    <col min="1026" max="1026" width="37.33203125" style="299" bestFit="1" customWidth="1"/>
    <col min="1027" max="1027" width="16.44140625" style="299" bestFit="1" customWidth="1"/>
    <col min="1028" max="1028" width="19.88671875" style="299" bestFit="1" customWidth="1"/>
    <col min="1029" max="1029" width="13.44140625" style="299" customWidth="1"/>
    <col min="1030" max="1030" width="16.44140625" style="299" bestFit="1" customWidth="1"/>
    <col min="1031" max="1031" width="19.88671875" style="299" bestFit="1" customWidth="1"/>
    <col min="1032" max="1032" width="12.44140625" style="299" customWidth="1"/>
    <col min="1033" max="1280" width="9.109375" style="299"/>
    <col min="1281" max="1281" width="3.44140625" style="299" customWidth="1"/>
    <col min="1282" max="1282" width="37.33203125" style="299" bestFit="1" customWidth="1"/>
    <col min="1283" max="1283" width="16.44140625" style="299" bestFit="1" customWidth="1"/>
    <col min="1284" max="1284" width="19.88671875" style="299" bestFit="1" customWidth="1"/>
    <col min="1285" max="1285" width="13.44140625" style="299" customWidth="1"/>
    <col min="1286" max="1286" width="16.44140625" style="299" bestFit="1" customWidth="1"/>
    <col min="1287" max="1287" width="19.88671875" style="299" bestFit="1" customWidth="1"/>
    <col min="1288" max="1288" width="12.44140625" style="299" customWidth="1"/>
    <col min="1289" max="1536" width="9.109375" style="299"/>
    <col min="1537" max="1537" width="3.44140625" style="299" customWidth="1"/>
    <col min="1538" max="1538" width="37.33203125" style="299" bestFit="1" customWidth="1"/>
    <col min="1539" max="1539" width="16.44140625" style="299" bestFit="1" customWidth="1"/>
    <col min="1540" max="1540" width="19.88671875" style="299" bestFit="1" customWidth="1"/>
    <col min="1541" max="1541" width="13.44140625" style="299" customWidth="1"/>
    <col min="1542" max="1542" width="16.44140625" style="299" bestFit="1" customWidth="1"/>
    <col min="1543" max="1543" width="19.88671875" style="299" bestFit="1" customWidth="1"/>
    <col min="1544" max="1544" width="12.44140625" style="299" customWidth="1"/>
    <col min="1545" max="1792" width="9.109375" style="299"/>
    <col min="1793" max="1793" width="3.44140625" style="299" customWidth="1"/>
    <col min="1794" max="1794" width="37.33203125" style="299" bestFit="1" customWidth="1"/>
    <col min="1795" max="1795" width="16.44140625" style="299" bestFit="1" customWidth="1"/>
    <col min="1796" max="1796" width="19.88671875" style="299" bestFit="1" customWidth="1"/>
    <col min="1797" max="1797" width="13.44140625" style="299" customWidth="1"/>
    <col min="1798" max="1798" width="16.44140625" style="299" bestFit="1" customWidth="1"/>
    <col min="1799" max="1799" width="19.88671875" style="299" bestFit="1" customWidth="1"/>
    <col min="1800" max="1800" width="12.44140625" style="299" customWidth="1"/>
    <col min="1801" max="2048" width="9.109375" style="299"/>
    <col min="2049" max="2049" width="3.44140625" style="299" customWidth="1"/>
    <col min="2050" max="2050" width="37.33203125" style="299" bestFit="1" customWidth="1"/>
    <col min="2051" max="2051" width="16.44140625" style="299" bestFit="1" customWidth="1"/>
    <col min="2052" max="2052" width="19.88671875" style="299" bestFit="1" customWidth="1"/>
    <col min="2053" max="2053" width="13.44140625" style="299" customWidth="1"/>
    <col min="2054" max="2054" width="16.44140625" style="299" bestFit="1" customWidth="1"/>
    <col min="2055" max="2055" width="19.88671875" style="299" bestFit="1" customWidth="1"/>
    <col min="2056" max="2056" width="12.44140625" style="299" customWidth="1"/>
    <col min="2057" max="2304" width="9.109375" style="299"/>
    <col min="2305" max="2305" width="3.44140625" style="299" customWidth="1"/>
    <col min="2306" max="2306" width="37.33203125" style="299" bestFit="1" customWidth="1"/>
    <col min="2307" max="2307" width="16.44140625" style="299" bestFit="1" customWidth="1"/>
    <col min="2308" max="2308" width="19.88671875" style="299" bestFit="1" customWidth="1"/>
    <col min="2309" max="2309" width="13.44140625" style="299" customWidth="1"/>
    <col min="2310" max="2310" width="16.44140625" style="299" bestFit="1" customWidth="1"/>
    <col min="2311" max="2311" width="19.88671875" style="299" bestFit="1" customWidth="1"/>
    <col min="2312" max="2312" width="12.44140625" style="299" customWidth="1"/>
    <col min="2313" max="2560" width="9.109375" style="299"/>
    <col min="2561" max="2561" width="3.44140625" style="299" customWidth="1"/>
    <col min="2562" max="2562" width="37.33203125" style="299" bestFit="1" customWidth="1"/>
    <col min="2563" max="2563" width="16.44140625" style="299" bestFit="1" customWidth="1"/>
    <col min="2564" max="2564" width="19.88671875" style="299" bestFit="1" customWidth="1"/>
    <col min="2565" max="2565" width="13.44140625" style="299" customWidth="1"/>
    <col min="2566" max="2566" width="16.44140625" style="299" bestFit="1" customWidth="1"/>
    <col min="2567" max="2567" width="19.88671875" style="299" bestFit="1" customWidth="1"/>
    <col min="2568" max="2568" width="12.44140625" style="299" customWidth="1"/>
    <col min="2569" max="2816" width="9.109375" style="299"/>
    <col min="2817" max="2817" width="3.44140625" style="299" customWidth="1"/>
    <col min="2818" max="2818" width="37.33203125" style="299" bestFit="1" customWidth="1"/>
    <col min="2819" max="2819" width="16.44140625" style="299" bestFit="1" customWidth="1"/>
    <col min="2820" max="2820" width="19.88671875" style="299" bestFit="1" customWidth="1"/>
    <col min="2821" max="2821" width="13.44140625" style="299" customWidth="1"/>
    <col min="2822" max="2822" width="16.44140625" style="299" bestFit="1" customWidth="1"/>
    <col min="2823" max="2823" width="19.88671875" style="299" bestFit="1" customWidth="1"/>
    <col min="2824" max="2824" width="12.44140625" style="299" customWidth="1"/>
    <col min="2825" max="3072" width="9.109375" style="299"/>
    <col min="3073" max="3073" width="3.44140625" style="299" customWidth="1"/>
    <col min="3074" max="3074" width="37.33203125" style="299" bestFit="1" customWidth="1"/>
    <col min="3075" max="3075" width="16.44140625" style="299" bestFit="1" customWidth="1"/>
    <col min="3076" max="3076" width="19.88671875" style="299" bestFit="1" customWidth="1"/>
    <col min="3077" max="3077" width="13.44140625" style="299" customWidth="1"/>
    <col min="3078" max="3078" width="16.44140625" style="299" bestFit="1" customWidth="1"/>
    <col min="3079" max="3079" width="19.88671875" style="299" bestFit="1" customWidth="1"/>
    <col min="3080" max="3080" width="12.44140625" style="299" customWidth="1"/>
    <col min="3081" max="3328" width="9.109375" style="299"/>
    <col min="3329" max="3329" width="3.44140625" style="299" customWidth="1"/>
    <col min="3330" max="3330" width="37.33203125" style="299" bestFit="1" customWidth="1"/>
    <col min="3331" max="3331" width="16.44140625" style="299" bestFit="1" customWidth="1"/>
    <col min="3332" max="3332" width="19.88671875" style="299" bestFit="1" customWidth="1"/>
    <col min="3333" max="3333" width="13.44140625" style="299" customWidth="1"/>
    <col min="3334" max="3334" width="16.44140625" style="299" bestFit="1" customWidth="1"/>
    <col min="3335" max="3335" width="19.88671875" style="299" bestFit="1" customWidth="1"/>
    <col min="3336" max="3336" width="12.44140625" style="299" customWidth="1"/>
    <col min="3337" max="3584" width="9.109375" style="299"/>
    <col min="3585" max="3585" width="3.44140625" style="299" customWidth="1"/>
    <col min="3586" max="3586" width="37.33203125" style="299" bestFit="1" customWidth="1"/>
    <col min="3587" max="3587" width="16.44140625" style="299" bestFit="1" customWidth="1"/>
    <col min="3588" max="3588" width="19.88671875" style="299" bestFit="1" customWidth="1"/>
    <col min="3589" max="3589" width="13.44140625" style="299" customWidth="1"/>
    <col min="3590" max="3590" width="16.44140625" style="299" bestFit="1" customWidth="1"/>
    <col min="3591" max="3591" width="19.88671875" style="299" bestFit="1" customWidth="1"/>
    <col min="3592" max="3592" width="12.44140625" style="299" customWidth="1"/>
    <col min="3593" max="3840" width="9.109375" style="299"/>
    <col min="3841" max="3841" width="3.44140625" style="299" customWidth="1"/>
    <col min="3842" max="3842" width="37.33203125" style="299" bestFit="1" customWidth="1"/>
    <col min="3843" max="3843" width="16.44140625" style="299" bestFit="1" customWidth="1"/>
    <col min="3844" max="3844" width="19.88671875" style="299" bestFit="1" customWidth="1"/>
    <col min="3845" max="3845" width="13.44140625" style="299" customWidth="1"/>
    <col min="3846" max="3846" width="16.44140625" style="299" bestFit="1" customWidth="1"/>
    <col min="3847" max="3847" width="19.88671875" style="299" bestFit="1" customWidth="1"/>
    <col min="3848" max="3848" width="12.44140625" style="299" customWidth="1"/>
    <col min="3849" max="4096" width="9.109375" style="299"/>
    <col min="4097" max="4097" width="3.44140625" style="299" customWidth="1"/>
    <col min="4098" max="4098" width="37.33203125" style="299" bestFit="1" customWidth="1"/>
    <col min="4099" max="4099" width="16.44140625" style="299" bestFit="1" customWidth="1"/>
    <col min="4100" max="4100" width="19.88671875" style="299" bestFit="1" customWidth="1"/>
    <col min="4101" max="4101" width="13.44140625" style="299" customWidth="1"/>
    <col min="4102" max="4102" width="16.44140625" style="299" bestFit="1" customWidth="1"/>
    <col min="4103" max="4103" width="19.88671875" style="299" bestFit="1" customWidth="1"/>
    <col min="4104" max="4104" width="12.44140625" style="299" customWidth="1"/>
    <col min="4105" max="4352" width="9.109375" style="299"/>
    <col min="4353" max="4353" width="3.44140625" style="299" customWidth="1"/>
    <col min="4354" max="4354" width="37.33203125" style="299" bestFit="1" customWidth="1"/>
    <col min="4355" max="4355" width="16.44140625" style="299" bestFit="1" customWidth="1"/>
    <col min="4356" max="4356" width="19.88671875" style="299" bestFit="1" customWidth="1"/>
    <col min="4357" max="4357" width="13.44140625" style="299" customWidth="1"/>
    <col min="4358" max="4358" width="16.44140625" style="299" bestFit="1" customWidth="1"/>
    <col min="4359" max="4359" width="19.88671875" style="299" bestFit="1" customWidth="1"/>
    <col min="4360" max="4360" width="12.44140625" style="299" customWidth="1"/>
    <col min="4361" max="4608" width="9.109375" style="299"/>
    <col min="4609" max="4609" width="3.44140625" style="299" customWidth="1"/>
    <col min="4610" max="4610" width="37.33203125" style="299" bestFit="1" customWidth="1"/>
    <col min="4611" max="4611" width="16.44140625" style="299" bestFit="1" customWidth="1"/>
    <col min="4612" max="4612" width="19.88671875" style="299" bestFit="1" customWidth="1"/>
    <col min="4613" max="4613" width="13.44140625" style="299" customWidth="1"/>
    <col min="4614" max="4614" width="16.44140625" style="299" bestFit="1" customWidth="1"/>
    <col min="4615" max="4615" width="19.88671875" style="299" bestFit="1" customWidth="1"/>
    <col min="4616" max="4616" width="12.44140625" style="299" customWidth="1"/>
    <col min="4617" max="4864" width="9.109375" style="299"/>
    <col min="4865" max="4865" width="3.44140625" style="299" customWidth="1"/>
    <col min="4866" max="4866" width="37.33203125" style="299" bestFit="1" customWidth="1"/>
    <col min="4867" max="4867" width="16.44140625" style="299" bestFit="1" customWidth="1"/>
    <col min="4868" max="4868" width="19.88671875" style="299" bestFit="1" customWidth="1"/>
    <col min="4869" max="4869" width="13.44140625" style="299" customWidth="1"/>
    <col min="4870" max="4870" width="16.44140625" style="299" bestFit="1" customWidth="1"/>
    <col min="4871" max="4871" width="19.88671875" style="299" bestFit="1" customWidth="1"/>
    <col min="4872" max="4872" width="12.44140625" style="299" customWidth="1"/>
    <col min="4873" max="5120" width="9.109375" style="299"/>
    <col min="5121" max="5121" width="3.44140625" style="299" customWidth="1"/>
    <col min="5122" max="5122" width="37.33203125" style="299" bestFit="1" customWidth="1"/>
    <col min="5123" max="5123" width="16.44140625" style="299" bestFit="1" customWidth="1"/>
    <col min="5124" max="5124" width="19.88671875" style="299" bestFit="1" customWidth="1"/>
    <col min="5125" max="5125" width="13.44140625" style="299" customWidth="1"/>
    <col min="5126" max="5126" width="16.44140625" style="299" bestFit="1" customWidth="1"/>
    <col min="5127" max="5127" width="19.88671875" style="299" bestFit="1" customWidth="1"/>
    <col min="5128" max="5128" width="12.44140625" style="299" customWidth="1"/>
    <col min="5129" max="5376" width="9.109375" style="299"/>
    <col min="5377" max="5377" width="3.44140625" style="299" customWidth="1"/>
    <col min="5378" max="5378" width="37.33203125" style="299" bestFit="1" customWidth="1"/>
    <col min="5379" max="5379" width="16.44140625" style="299" bestFit="1" customWidth="1"/>
    <col min="5380" max="5380" width="19.88671875" style="299" bestFit="1" customWidth="1"/>
    <col min="5381" max="5381" width="13.44140625" style="299" customWidth="1"/>
    <col min="5382" max="5382" width="16.44140625" style="299" bestFit="1" customWidth="1"/>
    <col min="5383" max="5383" width="19.88671875" style="299" bestFit="1" customWidth="1"/>
    <col min="5384" max="5384" width="12.44140625" style="299" customWidth="1"/>
    <col min="5385" max="5632" width="9.109375" style="299"/>
    <col min="5633" max="5633" width="3.44140625" style="299" customWidth="1"/>
    <col min="5634" max="5634" width="37.33203125" style="299" bestFit="1" customWidth="1"/>
    <col min="5635" max="5635" width="16.44140625" style="299" bestFit="1" customWidth="1"/>
    <col min="5636" max="5636" width="19.88671875" style="299" bestFit="1" customWidth="1"/>
    <col min="5637" max="5637" width="13.44140625" style="299" customWidth="1"/>
    <col min="5638" max="5638" width="16.44140625" style="299" bestFit="1" customWidth="1"/>
    <col min="5639" max="5639" width="19.88671875" style="299" bestFit="1" customWidth="1"/>
    <col min="5640" max="5640" width="12.44140625" style="299" customWidth="1"/>
    <col min="5641" max="5888" width="9.109375" style="299"/>
    <col min="5889" max="5889" width="3.44140625" style="299" customWidth="1"/>
    <col min="5890" max="5890" width="37.33203125" style="299" bestFit="1" customWidth="1"/>
    <col min="5891" max="5891" width="16.44140625" style="299" bestFit="1" customWidth="1"/>
    <col min="5892" max="5892" width="19.88671875" style="299" bestFit="1" customWidth="1"/>
    <col min="5893" max="5893" width="13.44140625" style="299" customWidth="1"/>
    <col min="5894" max="5894" width="16.44140625" style="299" bestFit="1" customWidth="1"/>
    <col min="5895" max="5895" width="19.88671875" style="299" bestFit="1" customWidth="1"/>
    <col min="5896" max="5896" width="12.44140625" style="299" customWidth="1"/>
    <col min="5897" max="6144" width="9.109375" style="299"/>
    <col min="6145" max="6145" width="3.44140625" style="299" customWidth="1"/>
    <col min="6146" max="6146" width="37.33203125" style="299" bestFit="1" customWidth="1"/>
    <col min="6147" max="6147" width="16.44140625" style="299" bestFit="1" customWidth="1"/>
    <col min="6148" max="6148" width="19.88671875" style="299" bestFit="1" customWidth="1"/>
    <col min="6149" max="6149" width="13.44140625" style="299" customWidth="1"/>
    <col min="6150" max="6150" width="16.44140625" style="299" bestFit="1" customWidth="1"/>
    <col min="6151" max="6151" width="19.88671875" style="299" bestFit="1" customWidth="1"/>
    <col min="6152" max="6152" width="12.44140625" style="299" customWidth="1"/>
    <col min="6153" max="6400" width="9.109375" style="299"/>
    <col min="6401" max="6401" width="3.44140625" style="299" customWidth="1"/>
    <col min="6402" max="6402" width="37.33203125" style="299" bestFit="1" customWidth="1"/>
    <col min="6403" max="6403" width="16.44140625" style="299" bestFit="1" customWidth="1"/>
    <col min="6404" max="6404" width="19.88671875" style="299" bestFit="1" customWidth="1"/>
    <col min="6405" max="6405" width="13.44140625" style="299" customWidth="1"/>
    <col min="6406" max="6406" width="16.44140625" style="299" bestFit="1" customWidth="1"/>
    <col min="6407" max="6407" width="19.88671875" style="299" bestFit="1" customWidth="1"/>
    <col min="6408" max="6408" width="12.44140625" style="299" customWidth="1"/>
    <col min="6409" max="6656" width="9.109375" style="299"/>
    <col min="6657" max="6657" width="3.44140625" style="299" customWidth="1"/>
    <col min="6658" max="6658" width="37.33203125" style="299" bestFit="1" customWidth="1"/>
    <col min="6659" max="6659" width="16.44140625" style="299" bestFit="1" customWidth="1"/>
    <col min="6660" max="6660" width="19.88671875" style="299" bestFit="1" customWidth="1"/>
    <col min="6661" max="6661" width="13.44140625" style="299" customWidth="1"/>
    <col min="6662" max="6662" width="16.44140625" style="299" bestFit="1" customWidth="1"/>
    <col min="6663" max="6663" width="19.88671875" style="299" bestFit="1" customWidth="1"/>
    <col min="6664" max="6664" width="12.44140625" style="299" customWidth="1"/>
    <col min="6665" max="6912" width="9.109375" style="299"/>
    <col min="6913" max="6913" width="3.44140625" style="299" customWidth="1"/>
    <col min="6914" max="6914" width="37.33203125" style="299" bestFit="1" customWidth="1"/>
    <col min="6915" max="6915" width="16.44140625" style="299" bestFit="1" customWidth="1"/>
    <col min="6916" max="6916" width="19.88671875" style="299" bestFit="1" customWidth="1"/>
    <col min="6917" max="6917" width="13.44140625" style="299" customWidth="1"/>
    <col min="6918" max="6918" width="16.44140625" style="299" bestFit="1" customWidth="1"/>
    <col min="6919" max="6919" width="19.88671875" style="299" bestFit="1" customWidth="1"/>
    <col min="6920" max="6920" width="12.44140625" style="299" customWidth="1"/>
    <col min="6921" max="7168" width="9.109375" style="299"/>
    <col min="7169" max="7169" width="3.44140625" style="299" customWidth="1"/>
    <col min="7170" max="7170" width="37.33203125" style="299" bestFit="1" customWidth="1"/>
    <col min="7171" max="7171" width="16.44140625" style="299" bestFit="1" customWidth="1"/>
    <col min="7172" max="7172" width="19.88671875" style="299" bestFit="1" customWidth="1"/>
    <col min="7173" max="7173" width="13.44140625" style="299" customWidth="1"/>
    <col min="7174" max="7174" width="16.44140625" style="299" bestFit="1" customWidth="1"/>
    <col min="7175" max="7175" width="19.88671875" style="299" bestFit="1" customWidth="1"/>
    <col min="7176" max="7176" width="12.44140625" style="299" customWidth="1"/>
    <col min="7177" max="7424" width="9.109375" style="299"/>
    <col min="7425" max="7425" width="3.44140625" style="299" customWidth="1"/>
    <col min="7426" max="7426" width="37.33203125" style="299" bestFit="1" customWidth="1"/>
    <col min="7427" max="7427" width="16.44140625" style="299" bestFit="1" customWidth="1"/>
    <col min="7428" max="7428" width="19.88671875" style="299" bestFit="1" customWidth="1"/>
    <col min="7429" max="7429" width="13.44140625" style="299" customWidth="1"/>
    <col min="7430" max="7430" width="16.44140625" style="299" bestFit="1" customWidth="1"/>
    <col min="7431" max="7431" width="19.88671875" style="299" bestFit="1" customWidth="1"/>
    <col min="7432" max="7432" width="12.44140625" style="299" customWidth="1"/>
    <col min="7433" max="7680" width="9.109375" style="299"/>
    <col min="7681" max="7681" width="3.44140625" style="299" customWidth="1"/>
    <col min="7682" max="7682" width="37.33203125" style="299" bestFit="1" customWidth="1"/>
    <col min="7683" max="7683" width="16.44140625" style="299" bestFit="1" customWidth="1"/>
    <col min="7684" max="7684" width="19.88671875" style="299" bestFit="1" customWidth="1"/>
    <col min="7685" max="7685" width="13.44140625" style="299" customWidth="1"/>
    <col min="7686" max="7686" width="16.44140625" style="299" bestFit="1" customWidth="1"/>
    <col min="7687" max="7687" width="19.88671875" style="299" bestFit="1" customWidth="1"/>
    <col min="7688" max="7688" width="12.44140625" style="299" customWidth="1"/>
    <col min="7689" max="7936" width="9.109375" style="299"/>
    <col min="7937" max="7937" width="3.44140625" style="299" customWidth="1"/>
    <col min="7938" max="7938" width="37.33203125" style="299" bestFit="1" customWidth="1"/>
    <col min="7939" max="7939" width="16.44140625" style="299" bestFit="1" customWidth="1"/>
    <col min="7940" max="7940" width="19.88671875" style="299" bestFit="1" customWidth="1"/>
    <col min="7941" max="7941" width="13.44140625" style="299" customWidth="1"/>
    <col min="7942" max="7942" width="16.44140625" style="299" bestFit="1" customWidth="1"/>
    <col min="7943" max="7943" width="19.88671875" style="299" bestFit="1" customWidth="1"/>
    <col min="7944" max="7944" width="12.44140625" style="299" customWidth="1"/>
    <col min="7945" max="8192" width="9.109375" style="299"/>
    <col min="8193" max="8193" width="3.44140625" style="299" customWidth="1"/>
    <col min="8194" max="8194" width="37.33203125" style="299" bestFit="1" customWidth="1"/>
    <col min="8195" max="8195" width="16.44140625" style="299" bestFit="1" customWidth="1"/>
    <col min="8196" max="8196" width="19.88671875" style="299" bestFit="1" customWidth="1"/>
    <col min="8197" max="8197" width="13.44140625" style="299" customWidth="1"/>
    <col min="8198" max="8198" width="16.44140625" style="299" bestFit="1" customWidth="1"/>
    <col min="8199" max="8199" width="19.88671875" style="299" bestFit="1" customWidth="1"/>
    <col min="8200" max="8200" width="12.44140625" style="299" customWidth="1"/>
    <col min="8201" max="8448" width="9.109375" style="299"/>
    <col min="8449" max="8449" width="3.44140625" style="299" customWidth="1"/>
    <col min="8450" max="8450" width="37.33203125" style="299" bestFit="1" customWidth="1"/>
    <col min="8451" max="8451" width="16.44140625" style="299" bestFit="1" customWidth="1"/>
    <col min="8452" max="8452" width="19.88671875" style="299" bestFit="1" customWidth="1"/>
    <col min="8453" max="8453" width="13.44140625" style="299" customWidth="1"/>
    <col min="8454" max="8454" width="16.44140625" style="299" bestFit="1" customWidth="1"/>
    <col min="8455" max="8455" width="19.88671875" style="299" bestFit="1" customWidth="1"/>
    <col min="8456" max="8456" width="12.44140625" style="299" customWidth="1"/>
    <col min="8457" max="8704" width="9.109375" style="299"/>
    <col min="8705" max="8705" width="3.44140625" style="299" customWidth="1"/>
    <col min="8706" max="8706" width="37.33203125" style="299" bestFit="1" customWidth="1"/>
    <col min="8707" max="8707" width="16.44140625" style="299" bestFit="1" customWidth="1"/>
    <col min="8708" max="8708" width="19.88671875" style="299" bestFit="1" customWidth="1"/>
    <col min="8709" max="8709" width="13.44140625" style="299" customWidth="1"/>
    <col min="8710" max="8710" width="16.44140625" style="299" bestFit="1" customWidth="1"/>
    <col min="8711" max="8711" width="19.88671875" style="299" bestFit="1" customWidth="1"/>
    <col min="8712" max="8712" width="12.44140625" style="299" customWidth="1"/>
    <col min="8713" max="8960" width="9.109375" style="299"/>
    <col min="8961" max="8961" width="3.44140625" style="299" customWidth="1"/>
    <col min="8962" max="8962" width="37.33203125" style="299" bestFit="1" customWidth="1"/>
    <col min="8963" max="8963" width="16.44140625" style="299" bestFit="1" customWidth="1"/>
    <col min="8964" max="8964" width="19.88671875" style="299" bestFit="1" customWidth="1"/>
    <col min="8965" max="8965" width="13.44140625" style="299" customWidth="1"/>
    <col min="8966" max="8966" width="16.44140625" style="299" bestFit="1" customWidth="1"/>
    <col min="8967" max="8967" width="19.88671875" style="299" bestFit="1" customWidth="1"/>
    <col min="8968" max="8968" width="12.44140625" style="299" customWidth="1"/>
    <col min="8969" max="9216" width="9.109375" style="299"/>
    <col min="9217" max="9217" width="3.44140625" style="299" customWidth="1"/>
    <col min="9218" max="9218" width="37.33203125" style="299" bestFit="1" customWidth="1"/>
    <col min="9219" max="9219" width="16.44140625" style="299" bestFit="1" customWidth="1"/>
    <col min="9220" max="9220" width="19.88671875" style="299" bestFit="1" customWidth="1"/>
    <col min="9221" max="9221" width="13.44140625" style="299" customWidth="1"/>
    <col min="9222" max="9222" width="16.44140625" style="299" bestFit="1" customWidth="1"/>
    <col min="9223" max="9223" width="19.88671875" style="299" bestFit="1" customWidth="1"/>
    <col min="9224" max="9224" width="12.44140625" style="299" customWidth="1"/>
    <col min="9225" max="9472" width="9.109375" style="299"/>
    <col min="9473" max="9473" width="3.44140625" style="299" customWidth="1"/>
    <col min="9474" max="9474" width="37.33203125" style="299" bestFit="1" customWidth="1"/>
    <col min="9475" max="9475" width="16.44140625" style="299" bestFit="1" customWidth="1"/>
    <col min="9476" max="9476" width="19.88671875" style="299" bestFit="1" customWidth="1"/>
    <col min="9477" max="9477" width="13.44140625" style="299" customWidth="1"/>
    <col min="9478" max="9478" width="16.44140625" style="299" bestFit="1" customWidth="1"/>
    <col min="9479" max="9479" width="19.88671875" style="299" bestFit="1" customWidth="1"/>
    <col min="9480" max="9480" width="12.44140625" style="299" customWidth="1"/>
    <col min="9481" max="9728" width="9.109375" style="299"/>
    <col min="9729" max="9729" width="3.44140625" style="299" customWidth="1"/>
    <col min="9730" max="9730" width="37.33203125" style="299" bestFit="1" customWidth="1"/>
    <col min="9731" max="9731" width="16.44140625" style="299" bestFit="1" customWidth="1"/>
    <col min="9732" max="9732" width="19.88671875" style="299" bestFit="1" customWidth="1"/>
    <col min="9733" max="9733" width="13.44140625" style="299" customWidth="1"/>
    <col min="9734" max="9734" width="16.44140625" style="299" bestFit="1" customWidth="1"/>
    <col min="9735" max="9735" width="19.88671875" style="299" bestFit="1" customWidth="1"/>
    <col min="9736" max="9736" width="12.44140625" style="299" customWidth="1"/>
    <col min="9737" max="9984" width="9.109375" style="299"/>
    <col min="9985" max="9985" width="3.44140625" style="299" customWidth="1"/>
    <col min="9986" max="9986" width="37.33203125" style="299" bestFit="1" customWidth="1"/>
    <col min="9987" max="9987" width="16.44140625" style="299" bestFit="1" customWidth="1"/>
    <col min="9988" max="9988" width="19.88671875" style="299" bestFit="1" customWidth="1"/>
    <col min="9989" max="9989" width="13.44140625" style="299" customWidth="1"/>
    <col min="9990" max="9990" width="16.44140625" style="299" bestFit="1" customWidth="1"/>
    <col min="9991" max="9991" width="19.88671875" style="299" bestFit="1" customWidth="1"/>
    <col min="9992" max="9992" width="12.44140625" style="299" customWidth="1"/>
    <col min="9993" max="10240" width="9.109375" style="299"/>
    <col min="10241" max="10241" width="3.44140625" style="299" customWidth="1"/>
    <col min="10242" max="10242" width="37.33203125" style="299" bestFit="1" customWidth="1"/>
    <col min="10243" max="10243" width="16.44140625" style="299" bestFit="1" customWidth="1"/>
    <col min="10244" max="10244" width="19.88671875" style="299" bestFit="1" customWidth="1"/>
    <col min="10245" max="10245" width="13.44140625" style="299" customWidth="1"/>
    <col min="10246" max="10246" width="16.44140625" style="299" bestFit="1" customWidth="1"/>
    <col min="10247" max="10247" width="19.88671875" style="299" bestFit="1" customWidth="1"/>
    <col min="10248" max="10248" width="12.44140625" style="299" customWidth="1"/>
    <col min="10249" max="10496" width="9.109375" style="299"/>
    <col min="10497" max="10497" width="3.44140625" style="299" customWidth="1"/>
    <col min="10498" max="10498" width="37.33203125" style="299" bestFit="1" customWidth="1"/>
    <col min="10499" max="10499" width="16.44140625" style="299" bestFit="1" customWidth="1"/>
    <col min="10500" max="10500" width="19.88671875" style="299" bestFit="1" customWidth="1"/>
    <col min="10501" max="10501" width="13.44140625" style="299" customWidth="1"/>
    <col min="10502" max="10502" width="16.44140625" style="299" bestFit="1" customWidth="1"/>
    <col min="10503" max="10503" width="19.88671875" style="299" bestFit="1" customWidth="1"/>
    <col min="10504" max="10504" width="12.44140625" style="299" customWidth="1"/>
    <col min="10505" max="10752" width="9.109375" style="299"/>
    <col min="10753" max="10753" width="3.44140625" style="299" customWidth="1"/>
    <col min="10754" max="10754" width="37.33203125" style="299" bestFit="1" customWidth="1"/>
    <col min="10755" max="10755" width="16.44140625" style="299" bestFit="1" customWidth="1"/>
    <col min="10756" max="10756" width="19.88671875" style="299" bestFit="1" customWidth="1"/>
    <col min="10757" max="10757" width="13.44140625" style="299" customWidth="1"/>
    <col min="10758" max="10758" width="16.44140625" style="299" bestFit="1" customWidth="1"/>
    <col min="10759" max="10759" width="19.88671875" style="299" bestFit="1" customWidth="1"/>
    <col min="10760" max="10760" width="12.44140625" style="299" customWidth="1"/>
    <col min="10761" max="11008" width="9.109375" style="299"/>
    <col min="11009" max="11009" width="3.44140625" style="299" customWidth="1"/>
    <col min="11010" max="11010" width="37.33203125" style="299" bestFit="1" customWidth="1"/>
    <col min="11011" max="11011" width="16.44140625" style="299" bestFit="1" customWidth="1"/>
    <col min="11012" max="11012" width="19.88671875" style="299" bestFit="1" customWidth="1"/>
    <col min="11013" max="11013" width="13.44140625" style="299" customWidth="1"/>
    <col min="11014" max="11014" width="16.44140625" style="299" bestFit="1" customWidth="1"/>
    <col min="11015" max="11015" width="19.88671875" style="299" bestFit="1" customWidth="1"/>
    <col min="11016" max="11016" width="12.44140625" style="299" customWidth="1"/>
    <col min="11017" max="11264" width="9.109375" style="299"/>
    <col min="11265" max="11265" width="3.44140625" style="299" customWidth="1"/>
    <col min="11266" max="11266" width="37.33203125" style="299" bestFit="1" customWidth="1"/>
    <col min="11267" max="11267" width="16.44140625" style="299" bestFit="1" customWidth="1"/>
    <col min="11268" max="11268" width="19.88671875" style="299" bestFit="1" customWidth="1"/>
    <col min="11269" max="11269" width="13.44140625" style="299" customWidth="1"/>
    <col min="11270" max="11270" width="16.44140625" style="299" bestFit="1" customWidth="1"/>
    <col min="11271" max="11271" width="19.88671875" style="299" bestFit="1" customWidth="1"/>
    <col min="11272" max="11272" width="12.44140625" style="299" customWidth="1"/>
    <col min="11273" max="11520" width="9.109375" style="299"/>
    <col min="11521" max="11521" width="3.44140625" style="299" customWidth="1"/>
    <col min="11522" max="11522" width="37.33203125" style="299" bestFit="1" customWidth="1"/>
    <col min="11523" max="11523" width="16.44140625" style="299" bestFit="1" customWidth="1"/>
    <col min="11524" max="11524" width="19.88671875" style="299" bestFit="1" customWidth="1"/>
    <col min="11525" max="11525" width="13.44140625" style="299" customWidth="1"/>
    <col min="11526" max="11526" width="16.44140625" style="299" bestFit="1" customWidth="1"/>
    <col min="11527" max="11527" width="19.88671875" style="299" bestFit="1" customWidth="1"/>
    <col min="11528" max="11528" width="12.44140625" style="299" customWidth="1"/>
    <col min="11529" max="11776" width="9.109375" style="299"/>
    <col min="11777" max="11777" width="3.44140625" style="299" customWidth="1"/>
    <col min="11778" max="11778" width="37.33203125" style="299" bestFit="1" customWidth="1"/>
    <col min="11779" max="11779" width="16.44140625" style="299" bestFit="1" customWidth="1"/>
    <col min="11780" max="11780" width="19.88671875" style="299" bestFit="1" customWidth="1"/>
    <col min="11781" max="11781" width="13.44140625" style="299" customWidth="1"/>
    <col min="11782" max="11782" width="16.44140625" style="299" bestFit="1" customWidth="1"/>
    <col min="11783" max="11783" width="19.88671875" style="299" bestFit="1" customWidth="1"/>
    <col min="11784" max="11784" width="12.44140625" style="299" customWidth="1"/>
    <col min="11785" max="12032" width="9.109375" style="299"/>
    <col min="12033" max="12033" width="3.44140625" style="299" customWidth="1"/>
    <col min="12034" max="12034" width="37.33203125" style="299" bestFit="1" customWidth="1"/>
    <col min="12035" max="12035" width="16.44140625" style="299" bestFit="1" customWidth="1"/>
    <col min="12036" max="12036" width="19.88671875" style="299" bestFit="1" customWidth="1"/>
    <col min="12037" max="12037" width="13.44140625" style="299" customWidth="1"/>
    <col min="12038" max="12038" width="16.44140625" style="299" bestFit="1" customWidth="1"/>
    <col min="12039" max="12039" width="19.88671875" style="299" bestFit="1" customWidth="1"/>
    <col min="12040" max="12040" width="12.44140625" style="299" customWidth="1"/>
    <col min="12041" max="12288" width="9.109375" style="299"/>
    <col min="12289" max="12289" width="3.44140625" style="299" customWidth="1"/>
    <col min="12290" max="12290" width="37.33203125" style="299" bestFit="1" customWidth="1"/>
    <col min="12291" max="12291" width="16.44140625" style="299" bestFit="1" customWidth="1"/>
    <col min="12292" max="12292" width="19.88671875" style="299" bestFit="1" customWidth="1"/>
    <col min="12293" max="12293" width="13.44140625" style="299" customWidth="1"/>
    <col min="12294" max="12294" width="16.44140625" style="299" bestFit="1" customWidth="1"/>
    <col min="12295" max="12295" width="19.88671875" style="299" bestFit="1" customWidth="1"/>
    <col min="12296" max="12296" width="12.44140625" style="299" customWidth="1"/>
    <col min="12297" max="12544" width="9.109375" style="299"/>
    <col min="12545" max="12545" width="3.44140625" style="299" customWidth="1"/>
    <col min="12546" max="12546" width="37.33203125" style="299" bestFit="1" customWidth="1"/>
    <col min="12547" max="12547" width="16.44140625" style="299" bestFit="1" customWidth="1"/>
    <col min="12548" max="12548" width="19.88671875" style="299" bestFit="1" customWidth="1"/>
    <col min="12549" max="12549" width="13.44140625" style="299" customWidth="1"/>
    <col min="12550" max="12550" width="16.44140625" style="299" bestFit="1" customWidth="1"/>
    <col min="12551" max="12551" width="19.88671875" style="299" bestFit="1" customWidth="1"/>
    <col min="12552" max="12552" width="12.44140625" style="299" customWidth="1"/>
    <col min="12553" max="12800" width="9.109375" style="299"/>
    <col min="12801" max="12801" width="3.44140625" style="299" customWidth="1"/>
    <col min="12802" max="12802" width="37.33203125" style="299" bestFit="1" customWidth="1"/>
    <col min="12803" max="12803" width="16.44140625" style="299" bestFit="1" customWidth="1"/>
    <col min="12804" max="12804" width="19.88671875" style="299" bestFit="1" customWidth="1"/>
    <col min="12805" max="12805" width="13.44140625" style="299" customWidth="1"/>
    <col min="12806" max="12806" width="16.44140625" style="299" bestFit="1" customWidth="1"/>
    <col min="12807" max="12807" width="19.88671875" style="299" bestFit="1" customWidth="1"/>
    <col min="12808" max="12808" width="12.44140625" style="299" customWidth="1"/>
    <col min="12809" max="13056" width="9.109375" style="299"/>
    <col min="13057" max="13057" width="3.44140625" style="299" customWidth="1"/>
    <col min="13058" max="13058" width="37.33203125" style="299" bestFit="1" customWidth="1"/>
    <col min="13059" max="13059" width="16.44140625" style="299" bestFit="1" customWidth="1"/>
    <col min="13060" max="13060" width="19.88671875" style="299" bestFit="1" customWidth="1"/>
    <col min="13061" max="13061" width="13.44140625" style="299" customWidth="1"/>
    <col min="13062" max="13062" width="16.44140625" style="299" bestFit="1" customWidth="1"/>
    <col min="13063" max="13063" width="19.88671875" style="299" bestFit="1" customWidth="1"/>
    <col min="13064" max="13064" width="12.44140625" style="299" customWidth="1"/>
    <col min="13065" max="13312" width="9.109375" style="299"/>
    <col min="13313" max="13313" width="3.44140625" style="299" customWidth="1"/>
    <col min="13314" max="13314" width="37.33203125" style="299" bestFit="1" customWidth="1"/>
    <col min="13315" max="13315" width="16.44140625" style="299" bestFit="1" customWidth="1"/>
    <col min="13316" max="13316" width="19.88671875" style="299" bestFit="1" customWidth="1"/>
    <col min="13317" max="13317" width="13.44140625" style="299" customWidth="1"/>
    <col min="13318" max="13318" width="16.44140625" style="299" bestFit="1" customWidth="1"/>
    <col min="13319" max="13319" width="19.88671875" style="299" bestFit="1" customWidth="1"/>
    <col min="13320" max="13320" width="12.44140625" style="299" customWidth="1"/>
    <col min="13321" max="13568" width="9.109375" style="299"/>
    <col min="13569" max="13569" width="3.44140625" style="299" customWidth="1"/>
    <col min="13570" max="13570" width="37.33203125" style="299" bestFit="1" customWidth="1"/>
    <col min="13571" max="13571" width="16.44140625" style="299" bestFit="1" customWidth="1"/>
    <col min="13572" max="13572" width="19.88671875" style="299" bestFit="1" customWidth="1"/>
    <col min="13573" max="13573" width="13.44140625" style="299" customWidth="1"/>
    <col min="13574" max="13574" width="16.44140625" style="299" bestFit="1" customWidth="1"/>
    <col min="13575" max="13575" width="19.88671875" style="299" bestFit="1" customWidth="1"/>
    <col min="13576" max="13576" width="12.44140625" style="299" customWidth="1"/>
    <col min="13577" max="13824" width="9.109375" style="299"/>
    <col min="13825" max="13825" width="3.44140625" style="299" customWidth="1"/>
    <col min="13826" max="13826" width="37.33203125" style="299" bestFit="1" customWidth="1"/>
    <col min="13827" max="13827" width="16.44140625" style="299" bestFit="1" customWidth="1"/>
    <col min="13828" max="13828" width="19.88671875" style="299" bestFit="1" customWidth="1"/>
    <col min="13829" max="13829" width="13.44140625" style="299" customWidth="1"/>
    <col min="13830" max="13830" width="16.44140625" style="299" bestFit="1" customWidth="1"/>
    <col min="13831" max="13831" width="19.88671875" style="299" bestFit="1" customWidth="1"/>
    <col min="13832" max="13832" width="12.44140625" style="299" customWidth="1"/>
    <col min="13833" max="14080" width="9.109375" style="299"/>
    <col min="14081" max="14081" width="3.44140625" style="299" customWidth="1"/>
    <col min="14082" max="14082" width="37.33203125" style="299" bestFit="1" customWidth="1"/>
    <col min="14083" max="14083" width="16.44140625" style="299" bestFit="1" customWidth="1"/>
    <col min="14084" max="14084" width="19.88671875" style="299" bestFit="1" customWidth="1"/>
    <col min="14085" max="14085" width="13.44140625" style="299" customWidth="1"/>
    <col min="14086" max="14086" width="16.44140625" style="299" bestFit="1" customWidth="1"/>
    <col min="14087" max="14087" width="19.88671875" style="299" bestFit="1" customWidth="1"/>
    <col min="14088" max="14088" width="12.44140625" style="299" customWidth="1"/>
    <col min="14089" max="14336" width="9.109375" style="299"/>
    <col min="14337" max="14337" width="3.44140625" style="299" customWidth="1"/>
    <col min="14338" max="14338" width="37.33203125" style="299" bestFit="1" customWidth="1"/>
    <col min="14339" max="14339" width="16.44140625" style="299" bestFit="1" customWidth="1"/>
    <col min="14340" max="14340" width="19.88671875" style="299" bestFit="1" customWidth="1"/>
    <col min="14341" max="14341" width="13.44140625" style="299" customWidth="1"/>
    <col min="14342" max="14342" width="16.44140625" style="299" bestFit="1" customWidth="1"/>
    <col min="14343" max="14343" width="19.88671875" style="299" bestFit="1" customWidth="1"/>
    <col min="14344" max="14344" width="12.44140625" style="299" customWidth="1"/>
    <col min="14345" max="14592" width="9.109375" style="299"/>
    <col min="14593" max="14593" width="3.44140625" style="299" customWidth="1"/>
    <col min="14594" max="14594" width="37.33203125" style="299" bestFit="1" customWidth="1"/>
    <col min="14595" max="14595" width="16.44140625" style="299" bestFit="1" customWidth="1"/>
    <col min="14596" max="14596" width="19.88671875" style="299" bestFit="1" customWidth="1"/>
    <col min="14597" max="14597" width="13.44140625" style="299" customWidth="1"/>
    <col min="14598" max="14598" width="16.44140625" style="299" bestFit="1" customWidth="1"/>
    <col min="14599" max="14599" width="19.88671875" style="299" bestFit="1" customWidth="1"/>
    <col min="14600" max="14600" width="12.44140625" style="299" customWidth="1"/>
    <col min="14601" max="14848" width="9.109375" style="299"/>
    <col min="14849" max="14849" width="3.44140625" style="299" customWidth="1"/>
    <col min="14850" max="14850" width="37.33203125" style="299" bestFit="1" customWidth="1"/>
    <col min="14851" max="14851" width="16.44140625" style="299" bestFit="1" customWidth="1"/>
    <col min="14852" max="14852" width="19.88671875" style="299" bestFit="1" customWidth="1"/>
    <col min="14853" max="14853" width="13.44140625" style="299" customWidth="1"/>
    <col min="14854" max="14854" width="16.44140625" style="299" bestFit="1" customWidth="1"/>
    <col min="14855" max="14855" width="19.88671875" style="299" bestFit="1" customWidth="1"/>
    <col min="14856" max="14856" width="12.44140625" style="299" customWidth="1"/>
    <col min="14857" max="15104" width="9.109375" style="299"/>
    <col min="15105" max="15105" width="3.44140625" style="299" customWidth="1"/>
    <col min="15106" max="15106" width="37.33203125" style="299" bestFit="1" customWidth="1"/>
    <col min="15107" max="15107" width="16.44140625" style="299" bestFit="1" customWidth="1"/>
    <col min="15108" max="15108" width="19.88671875" style="299" bestFit="1" customWidth="1"/>
    <col min="15109" max="15109" width="13.44140625" style="299" customWidth="1"/>
    <col min="15110" max="15110" width="16.44140625" style="299" bestFit="1" customWidth="1"/>
    <col min="15111" max="15111" width="19.88671875" style="299" bestFit="1" customWidth="1"/>
    <col min="15112" max="15112" width="12.44140625" style="299" customWidth="1"/>
    <col min="15113" max="15360" width="9.109375" style="299"/>
    <col min="15361" max="15361" width="3.44140625" style="299" customWidth="1"/>
    <col min="15362" max="15362" width="37.33203125" style="299" bestFit="1" customWidth="1"/>
    <col min="15363" max="15363" width="16.44140625" style="299" bestFit="1" customWidth="1"/>
    <col min="15364" max="15364" width="19.88671875" style="299" bestFit="1" customWidth="1"/>
    <col min="15365" max="15365" width="13.44140625" style="299" customWidth="1"/>
    <col min="15366" max="15366" width="16.44140625" style="299" bestFit="1" customWidth="1"/>
    <col min="15367" max="15367" width="19.88671875" style="299" bestFit="1" customWidth="1"/>
    <col min="15368" max="15368" width="12.44140625" style="299" customWidth="1"/>
    <col min="15369" max="15616" width="9.109375" style="299"/>
    <col min="15617" max="15617" width="3.44140625" style="299" customWidth="1"/>
    <col min="15618" max="15618" width="37.33203125" style="299" bestFit="1" customWidth="1"/>
    <col min="15619" max="15619" width="16.44140625" style="299" bestFit="1" customWidth="1"/>
    <col min="15620" max="15620" width="19.88671875" style="299" bestFit="1" customWidth="1"/>
    <col min="15621" max="15621" width="13.44140625" style="299" customWidth="1"/>
    <col min="15622" max="15622" width="16.44140625" style="299" bestFit="1" customWidth="1"/>
    <col min="15623" max="15623" width="19.88671875" style="299" bestFit="1" customWidth="1"/>
    <col min="15624" max="15624" width="12.44140625" style="299" customWidth="1"/>
    <col min="15625" max="15872" width="9.109375" style="299"/>
    <col min="15873" max="15873" width="3.44140625" style="299" customWidth="1"/>
    <col min="15874" max="15874" width="37.33203125" style="299" bestFit="1" customWidth="1"/>
    <col min="15875" max="15875" width="16.44140625" style="299" bestFit="1" customWidth="1"/>
    <col min="15876" max="15876" width="19.88671875" style="299" bestFit="1" customWidth="1"/>
    <col min="15877" max="15877" width="13.44140625" style="299" customWidth="1"/>
    <col min="15878" max="15878" width="16.44140625" style="299" bestFit="1" customWidth="1"/>
    <col min="15879" max="15879" width="19.88671875" style="299" bestFit="1" customWidth="1"/>
    <col min="15880" max="15880" width="12.44140625" style="299" customWidth="1"/>
    <col min="15881" max="16128" width="9.109375" style="299"/>
    <col min="16129" max="16129" width="3.44140625" style="299" customWidth="1"/>
    <col min="16130" max="16130" width="37.33203125" style="299" bestFit="1" customWidth="1"/>
    <col min="16131" max="16131" width="16.44140625" style="299" bestFit="1" customWidth="1"/>
    <col min="16132" max="16132" width="19.88671875" style="299" bestFit="1" customWidth="1"/>
    <col min="16133" max="16133" width="13.44140625" style="299" customWidth="1"/>
    <col min="16134" max="16134" width="16.44140625" style="299" bestFit="1" customWidth="1"/>
    <col min="16135" max="16135" width="19.88671875" style="299" bestFit="1" customWidth="1"/>
    <col min="16136" max="16136" width="12.44140625" style="299" customWidth="1"/>
    <col min="16137" max="16384" width="9.109375" style="299"/>
  </cols>
  <sheetData>
    <row r="1" spans="1:11" ht="21" x14ac:dyDescent="0.4">
      <c r="B1" s="428"/>
      <c r="C1" s="428"/>
      <c r="D1" s="428"/>
      <c r="E1" s="428"/>
      <c r="F1" s="428"/>
      <c r="G1" s="428"/>
      <c r="H1" s="428"/>
    </row>
    <row r="2" spans="1:11" ht="21" x14ac:dyDescent="0.4">
      <c r="B2" s="428"/>
      <c r="C2" s="428"/>
      <c r="D2" s="428"/>
      <c r="E2" s="428"/>
      <c r="F2" s="428"/>
      <c r="G2" s="428"/>
      <c r="H2" s="428"/>
    </row>
    <row r="3" spans="1:11" ht="21" x14ac:dyDescent="0.4">
      <c r="A3" s="300" t="s">
        <v>636</v>
      </c>
      <c r="B3" s="428" t="s">
        <v>637</v>
      </c>
      <c r="C3" s="428"/>
      <c r="D3" s="428"/>
      <c r="E3" s="428"/>
      <c r="F3" s="428"/>
      <c r="G3" s="428"/>
      <c r="H3" s="428"/>
    </row>
    <row r="5" spans="1:11" ht="16.2" thickBot="1" x14ac:dyDescent="0.35"/>
    <row r="6" spans="1:11" x14ac:dyDescent="0.3">
      <c r="B6" s="302"/>
      <c r="C6" s="429" t="s">
        <v>638</v>
      </c>
      <c r="D6" s="430"/>
      <c r="E6" s="431"/>
      <c r="F6" s="429" t="s">
        <v>616</v>
      </c>
      <c r="G6" s="430"/>
      <c r="H6" s="431"/>
    </row>
    <row r="7" spans="1:11" x14ac:dyDescent="0.3">
      <c r="B7" s="303" t="s">
        <v>566</v>
      </c>
      <c r="C7" s="304" t="s">
        <v>13</v>
      </c>
      <c r="D7" s="305" t="s">
        <v>14</v>
      </c>
      <c r="E7" s="306" t="s">
        <v>248</v>
      </c>
      <c r="F7" s="304" t="s">
        <v>13</v>
      </c>
      <c r="G7" s="305" t="s">
        <v>14</v>
      </c>
      <c r="H7" s="306" t="s">
        <v>248</v>
      </c>
    </row>
    <row r="8" spans="1:11" x14ac:dyDescent="0.3">
      <c r="B8" s="307" t="s">
        <v>639</v>
      </c>
      <c r="C8" s="304"/>
      <c r="D8" s="305"/>
      <c r="E8" s="306"/>
      <c r="F8" s="304"/>
      <c r="G8" s="305"/>
      <c r="H8" s="306"/>
    </row>
    <row r="9" spans="1:11" x14ac:dyDescent="0.3">
      <c r="B9" s="303" t="s">
        <v>640</v>
      </c>
      <c r="C9" s="308">
        <v>7000</v>
      </c>
      <c r="D9" s="305"/>
      <c r="E9" s="306">
        <f t="shared" ref="E9:E15" si="0">SUM(C9:D9)</f>
        <v>7000</v>
      </c>
      <c r="F9" s="308">
        <v>76285</v>
      </c>
      <c r="G9" s="305">
        <v>5300</v>
      </c>
      <c r="H9" s="306">
        <f t="shared" ref="H9:H19" si="1">SUM(F9:G9)</f>
        <v>81585</v>
      </c>
    </row>
    <row r="10" spans="1:11" x14ac:dyDescent="0.3">
      <c r="B10" s="303" t="s">
        <v>641</v>
      </c>
      <c r="C10" s="308">
        <f>172000</f>
        <v>172000</v>
      </c>
      <c r="D10" s="305"/>
      <c r="E10" s="306">
        <f t="shared" si="0"/>
        <v>172000</v>
      </c>
      <c r="F10" s="308">
        <v>183500</v>
      </c>
      <c r="G10" s="305"/>
      <c r="H10" s="306">
        <f t="shared" si="1"/>
        <v>183500</v>
      </c>
    </row>
    <row r="11" spans="1:11" x14ac:dyDescent="0.3">
      <c r="B11" s="303" t="s">
        <v>642</v>
      </c>
      <c r="C11" s="308"/>
      <c r="D11" s="305"/>
      <c r="E11" s="306">
        <f t="shared" si="0"/>
        <v>0</v>
      </c>
      <c r="F11" s="308"/>
      <c r="G11" s="305">
        <v>25000</v>
      </c>
      <c r="H11" s="306">
        <f t="shared" si="1"/>
        <v>25000</v>
      </c>
    </row>
    <row r="12" spans="1:11" x14ac:dyDescent="0.3">
      <c r="B12" s="303" t="s">
        <v>643</v>
      </c>
      <c r="C12" s="308"/>
      <c r="D12" s="305">
        <v>25000</v>
      </c>
      <c r="E12" s="306">
        <f>SUM(C12:D12)</f>
        <v>25000</v>
      </c>
      <c r="F12" s="308"/>
      <c r="G12" s="305"/>
      <c r="H12" s="306">
        <f>SUM(F12:G12)</f>
        <v>0</v>
      </c>
      <c r="K12" s="299">
        <f>140000+31553</f>
        <v>171553</v>
      </c>
    </row>
    <row r="13" spans="1:11" x14ac:dyDescent="0.3">
      <c r="B13" s="303" t="s">
        <v>788</v>
      </c>
      <c r="C13" s="309"/>
      <c r="D13" s="305">
        <v>10000</v>
      </c>
      <c r="E13" s="306">
        <f t="shared" si="0"/>
        <v>10000</v>
      </c>
      <c r="F13" s="308"/>
      <c r="G13" s="305"/>
      <c r="H13" s="306">
        <f t="shared" si="1"/>
        <v>0</v>
      </c>
    </row>
    <row r="14" spans="1:11" x14ac:dyDescent="0.3">
      <c r="B14" s="303" t="s">
        <v>644</v>
      </c>
      <c r="C14" s="308">
        <v>10000</v>
      </c>
      <c r="D14" s="305"/>
      <c r="E14" s="306">
        <f t="shared" si="0"/>
        <v>10000</v>
      </c>
      <c r="F14" s="308">
        <v>10000</v>
      </c>
      <c r="G14" s="305"/>
      <c r="H14" s="306">
        <f t="shared" si="1"/>
        <v>10000</v>
      </c>
    </row>
    <row r="15" spans="1:11" s="310" customFormat="1" x14ac:dyDescent="0.3">
      <c r="B15" s="307" t="s">
        <v>645</v>
      </c>
      <c r="C15" s="311">
        <f>SUM(C9:C14)</f>
        <v>189000</v>
      </c>
      <c r="D15" s="312">
        <f>SUM(D9:D14)</f>
        <v>35000</v>
      </c>
      <c r="E15" s="313">
        <f t="shared" si="0"/>
        <v>224000</v>
      </c>
      <c r="F15" s="311">
        <f>SUM(F9:F14)</f>
        <v>269785</v>
      </c>
      <c r="G15" s="312">
        <f>SUM(G9:G14)</f>
        <v>30300</v>
      </c>
      <c r="H15" s="313">
        <f>SUM(H9:H14)</f>
        <v>300085</v>
      </c>
    </row>
    <row r="16" spans="1:11" x14ac:dyDescent="0.3">
      <c r="B16" s="307" t="s">
        <v>646</v>
      </c>
      <c r="C16" s="308"/>
      <c r="D16" s="305"/>
      <c r="E16" s="306"/>
      <c r="F16" s="308"/>
      <c r="G16" s="305"/>
      <c r="H16" s="314">
        <f t="shared" si="1"/>
        <v>0</v>
      </c>
    </row>
    <row r="17" spans="2:12" x14ac:dyDescent="0.3">
      <c r="B17" s="303" t="s">
        <v>647</v>
      </c>
      <c r="C17" s="308">
        <v>11766</v>
      </c>
      <c r="D17" s="305"/>
      <c r="E17" s="306">
        <f>SUM(C17:D17)</f>
        <v>11766</v>
      </c>
      <c r="F17" s="308">
        <v>14856</v>
      </c>
      <c r="G17" s="305"/>
      <c r="H17" s="306">
        <f t="shared" si="1"/>
        <v>14856</v>
      </c>
      <c r="K17" s="305">
        <f>C18</f>
        <v>13979</v>
      </c>
    </row>
    <row r="18" spans="2:12" x14ac:dyDescent="0.3">
      <c r="B18" s="303" t="s">
        <v>648</v>
      </c>
      <c r="C18" s="308">
        <f>12411+920+644+4</f>
        <v>13979</v>
      </c>
      <c r="D18" s="305"/>
      <c r="E18" s="306">
        <f>SUM(C18:D18)</f>
        <v>13979</v>
      </c>
      <c r="F18" s="308">
        <v>12957</v>
      </c>
      <c r="G18" s="305"/>
      <c r="H18" s="306">
        <f t="shared" si="1"/>
        <v>12957</v>
      </c>
      <c r="K18" s="299" t="s">
        <v>649</v>
      </c>
    </row>
    <row r="19" spans="2:12" x14ac:dyDescent="0.3">
      <c r="B19" s="303" t="s">
        <v>650</v>
      </c>
      <c r="C19" s="308">
        <f>C15-C17-C18</f>
        <v>163255</v>
      </c>
      <c r="D19" s="335">
        <f>D15-D17-D18</f>
        <v>35000</v>
      </c>
      <c r="E19" s="306">
        <f>SUM(C19:D19)</f>
        <v>198255</v>
      </c>
      <c r="F19" s="308">
        <f>F15-F17-F18</f>
        <v>241972</v>
      </c>
      <c r="G19" s="335">
        <f>G15-G17-G18</f>
        <v>30300</v>
      </c>
      <c r="H19" s="306">
        <f t="shared" si="1"/>
        <v>272272</v>
      </c>
    </row>
    <row r="20" spans="2:12" s="310" customFormat="1" ht="16.2" thickBot="1" x14ac:dyDescent="0.35">
      <c r="B20" s="315" t="s">
        <v>651</v>
      </c>
      <c r="C20" s="316">
        <f>C15</f>
        <v>189000</v>
      </c>
      <c r="D20" s="317">
        <f>D15</f>
        <v>35000</v>
      </c>
      <c r="E20" s="318">
        <f>SUM(C20:D20)</f>
        <v>224000</v>
      </c>
      <c r="F20" s="316">
        <f>SUM(F17:F19)</f>
        <v>269785</v>
      </c>
      <c r="G20" s="317">
        <f>SUM(G17:G19)</f>
        <v>30300</v>
      </c>
      <c r="H20" s="318">
        <f>SUM(H17:H19)</f>
        <v>300085</v>
      </c>
    </row>
    <row r="21" spans="2:12" x14ac:dyDescent="0.3">
      <c r="K21" s="299" t="s">
        <v>652</v>
      </c>
      <c r="L21" s="299" t="s">
        <v>653</v>
      </c>
    </row>
    <row r="22" spans="2:12" x14ac:dyDescent="0.3">
      <c r="K22" s="301"/>
    </row>
    <row r="23" spans="2:12" x14ac:dyDescent="0.3">
      <c r="K23" s="301"/>
    </row>
  </sheetData>
  <sheetProtection algorithmName="SHA-512" hashValue="zQvTsOUUIzMj1JSUGNU6sv/g8+DqJWOW9YYy1/g1HHhVHX/80g07i3uo4Kff3qLXpXaglhxuS7PRHVD74930ig==" saltValue="UGg387x/6uaohLaO+JS9OQ==" spinCount="100000" sheet="1" objects="1" scenarios="1"/>
  <mergeCells count="5">
    <mergeCell ref="B1:H1"/>
    <mergeCell ref="B2:H2"/>
    <mergeCell ref="B3:H3"/>
    <mergeCell ref="C6:E6"/>
    <mergeCell ref="F6:H6"/>
  </mergeCells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4"/>
  <sheetViews>
    <sheetView rightToLeft="1" workbookViewId="0">
      <selection activeCell="E28" sqref="E28"/>
    </sheetView>
  </sheetViews>
  <sheetFormatPr defaultColWidth="9.109375" defaultRowHeight="13.8" x14ac:dyDescent="0.25"/>
  <cols>
    <col min="1" max="3" width="4.109375" style="253" customWidth="1"/>
    <col min="4" max="4" width="33" style="253" customWidth="1"/>
    <col min="5" max="9" width="12.109375" style="253" customWidth="1"/>
    <col min="10" max="10" width="7.88671875" style="253" customWidth="1"/>
    <col min="11" max="16384" width="9.109375" style="253"/>
  </cols>
  <sheetData>
    <row r="3" spans="1:17" ht="21" x14ac:dyDescent="0.25">
      <c r="E3" s="255"/>
    </row>
    <row r="4" spans="1:17" ht="15.6" x14ac:dyDescent="0.25">
      <c r="A4" s="258">
        <v>3.7</v>
      </c>
      <c r="C4" s="258" t="s">
        <v>654</v>
      </c>
      <c r="D4" s="258"/>
      <c r="E4" s="258"/>
      <c r="F4" s="258"/>
      <c r="G4" s="258"/>
      <c r="H4" s="258"/>
      <c r="I4" s="258"/>
      <c r="J4" s="258"/>
      <c r="K4" s="258"/>
      <c r="L4" s="258"/>
    </row>
    <row r="5" spans="1:17" ht="16.2" thickBot="1" x14ac:dyDescent="0.3">
      <c r="C5" s="258"/>
      <c r="D5" s="258"/>
      <c r="E5" s="258"/>
      <c r="F5" s="258"/>
      <c r="G5" s="258"/>
      <c r="H5" s="258"/>
      <c r="I5" s="258"/>
      <c r="J5" s="258"/>
      <c r="K5" s="258"/>
      <c r="L5" s="258"/>
    </row>
    <row r="6" spans="1:17" ht="20.100000000000001" customHeight="1" x14ac:dyDescent="0.25">
      <c r="A6" s="258"/>
      <c r="C6" s="283" t="s">
        <v>566</v>
      </c>
      <c r="D6" s="284"/>
      <c r="E6" s="285"/>
      <c r="F6" s="286" t="s">
        <v>615</v>
      </c>
      <c r="G6" s="349" t="s">
        <v>632</v>
      </c>
      <c r="M6" s="258"/>
      <c r="N6" s="258"/>
      <c r="O6" s="258"/>
    </row>
    <row r="7" spans="1:17" ht="20.100000000000001" customHeight="1" x14ac:dyDescent="0.25">
      <c r="A7" s="258"/>
      <c r="C7" s="288" t="s">
        <v>655</v>
      </c>
      <c r="D7" s="278"/>
      <c r="E7" s="279"/>
      <c r="F7" s="355">
        <f>'פרוט מקורות אחרים'!O16/1000</f>
        <v>9500</v>
      </c>
      <c r="G7" s="348">
        <v>24809</v>
      </c>
      <c r="M7" s="258"/>
      <c r="N7" s="258"/>
      <c r="O7" s="258"/>
    </row>
    <row r="8" spans="1:17" ht="20.100000000000001" customHeight="1" x14ac:dyDescent="0.25">
      <c r="A8" s="258"/>
      <c r="C8" s="288" t="s">
        <v>656</v>
      </c>
      <c r="D8" s="277"/>
      <c r="E8" s="279"/>
      <c r="F8" s="355">
        <f>'פרוט מקורות אחרים'!G16/1000</f>
        <v>28063.85</v>
      </c>
      <c r="G8" s="348">
        <v>21900</v>
      </c>
      <c r="M8" s="258"/>
      <c r="N8" s="258"/>
      <c r="O8" s="258"/>
    </row>
    <row r="9" spans="1:17" ht="20.100000000000001" customHeight="1" x14ac:dyDescent="0.25">
      <c r="A9" s="258"/>
      <c r="C9" s="288" t="s">
        <v>657</v>
      </c>
      <c r="D9" s="278"/>
      <c r="E9" s="279"/>
      <c r="F9" s="355"/>
      <c r="G9" s="348">
        <v>4065</v>
      </c>
      <c r="M9" s="258"/>
      <c r="N9" s="258"/>
      <c r="O9" s="258"/>
    </row>
    <row r="10" spans="1:17" ht="20.100000000000001" customHeight="1" x14ac:dyDescent="0.25">
      <c r="A10" s="258"/>
      <c r="C10" s="288" t="s">
        <v>658</v>
      </c>
      <c r="D10" s="278"/>
      <c r="E10" s="279"/>
      <c r="F10" s="355">
        <f>'פרוט מקורות אחרים'!D16/1000</f>
        <v>129091.071</v>
      </c>
      <c r="G10" s="348">
        <v>2710</v>
      </c>
      <c r="M10" s="258"/>
      <c r="N10" s="258"/>
      <c r="O10" s="258"/>
    </row>
    <row r="11" spans="1:17" ht="20.100000000000001" customHeight="1" x14ac:dyDescent="0.25">
      <c r="A11" s="258"/>
      <c r="C11" s="288" t="s">
        <v>659</v>
      </c>
      <c r="D11" s="297"/>
      <c r="E11" s="298"/>
      <c r="F11" s="355">
        <f>('פרוט מקורות אחרים'!F16+'פרוט מקורות אחרים'!H16+'פרוט מקורות אחרים'!K16+'פרוט מקורות אחרים'!M16+'פרוט מקורות אחרים'!N16)/1000+'פרוט מקורות אחרים'!I16/1000</f>
        <v>26977.024000000001</v>
      </c>
      <c r="G11" s="348">
        <f>21432-2710</f>
        <v>18722</v>
      </c>
      <c r="L11" s="282"/>
      <c r="M11" s="258"/>
      <c r="N11" s="258"/>
      <c r="O11" s="258"/>
    </row>
    <row r="12" spans="1:17" ht="20.100000000000001" customHeight="1" x14ac:dyDescent="0.25">
      <c r="A12" s="258"/>
      <c r="C12" s="288" t="s">
        <v>660</v>
      </c>
      <c r="D12" s="278"/>
      <c r="E12" s="279"/>
      <c r="F12" s="355">
        <f>'פרוט מקורות אחרים'!J16/1000</f>
        <v>3500</v>
      </c>
      <c r="G12" s="348">
        <v>5100</v>
      </c>
      <c r="M12" s="258"/>
      <c r="N12" s="258"/>
      <c r="O12" s="258"/>
    </row>
    <row r="13" spans="1:17" ht="20.100000000000001" customHeight="1" x14ac:dyDescent="0.25">
      <c r="A13" s="258"/>
      <c r="C13" s="288" t="s">
        <v>661</v>
      </c>
      <c r="D13" s="277"/>
      <c r="E13" s="279"/>
      <c r="F13" s="355">
        <f>'פרוט מקורות אחרים'!P16/1000</f>
        <v>39234.32</v>
      </c>
      <c r="G13" s="348">
        <v>38700</v>
      </c>
      <c r="M13" s="258"/>
      <c r="N13" s="258"/>
      <c r="O13" s="258"/>
    </row>
    <row r="14" spans="1:17" ht="20.100000000000001" customHeight="1" thickBot="1" x14ac:dyDescent="0.3">
      <c r="A14" s="258"/>
      <c r="C14" s="290" t="s">
        <v>248</v>
      </c>
      <c r="D14" s="291"/>
      <c r="E14" s="292"/>
      <c r="F14" s="424">
        <f>SUM(F7:F13)</f>
        <v>236366.26500000001</v>
      </c>
      <c r="G14" s="344">
        <f>SUM(G7:G13)</f>
        <v>116006</v>
      </c>
      <c r="M14" s="258"/>
      <c r="N14" s="258"/>
      <c r="O14" s="258"/>
    </row>
    <row r="15" spans="1:17" ht="15.6" x14ac:dyDescent="0.25">
      <c r="C15" s="258"/>
      <c r="D15" s="258"/>
      <c r="E15" s="258"/>
      <c r="F15" s="258"/>
      <c r="G15" s="258"/>
      <c r="H15" s="258"/>
      <c r="I15" s="258"/>
      <c r="J15" s="258"/>
      <c r="K15" s="258"/>
      <c r="L15" s="258"/>
    </row>
    <row r="16" spans="1:17" ht="15.6" x14ac:dyDescent="0.25">
      <c r="B16" s="253" t="s">
        <v>662</v>
      </c>
      <c r="C16" s="258" t="s">
        <v>825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</row>
    <row r="17" spans="1:17" ht="15.6" x14ac:dyDescent="0.25">
      <c r="C17" s="258" t="s">
        <v>824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</row>
    <row r="18" spans="1:17" ht="15.6" x14ac:dyDescent="0.25"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</row>
    <row r="19" spans="1:17" ht="15.6" hidden="1" x14ac:dyDescent="0.25">
      <c r="A19" s="267" t="s">
        <v>578</v>
      </c>
      <c r="B19" s="257" t="s">
        <v>579</v>
      </c>
    </row>
    <row r="20" spans="1:17" ht="15.6" hidden="1" x14ac:dyDescent="0.25"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</row>
    <row r="21" spans="1:17" ht="22.8" hidden="1" x14ac:dyDescent="0.25">
      <c r="A21" s="258">
        <v>4.0999999999999996</v>
      </c>
      <c r="B21" s="258" t="s">
        <v>663</v>
      </c>
      <c r="C21" s="258"/>
      <c r="D21" s="258"/>
      <c r="E21" s="258"/>
      <c r="F21" s="258"/>
      <c r="G21" s="258"/>
      <c r="H21" s="258"/>
      <c r="I21" s="319"/>
      <c r="J21" s="258"/>
      <c r="K21" s="258"/>
      <c r="L21" s="258"/>
      <c r="M21" s="258"/>
      <c r="N21" s="258"/>
      <c r="O21" s="258"/>
      <c r="P21" s="258"/>
      <c r="Q21" s="258"/>
    </row>
    <row r="22" spans="1:17" ht="15.6" hidden="1" x14ac:dyDescent="0.25">
      <c r="B22" s="258" t="s">
        <v>664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</row>
    <row r="23" spans="1:17" ht="15.6" hidden="1" x14ac:dyDescent="0.25">
      <c r="B23" s="258" t="s">
        <v>665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</row>
    <row r="24" spans="1:17" ht="15.6" hidden="1" x14ac:dyDescent="0.25">
      <c r="B24" s="258" t="s">
        <v>666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</row>
    <row r="25" spans="1:17" ht="15.6" hidden="1" x14ac:dyDescent="0.25">
      <c r="B25" s="258" t="s">
        <v>667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</row>
    <row r="26" spans="1:17" ht="15.6" hidden="1" x14ac:dyDescent="0.25"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</row>
    <row r="27" spans="1:17" ht="15.6" hidden="1" x14ac:dyDescent="0.25">
      <c r="A27" s="258">
        <v>4.2</v>
      </c>
      <c r="B27" s="258" t="s">
        <v>668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</row>
    <row r="28" spans="1:17" ht="15.6" hidden="1" x14ac:dyDescent="0.25">
      <c r="A28" s="258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</row>
    <row r="29" spans="1:17" ht="15.6" hidden="1" x14ac:dyDescent="0.25">
      <c r="A29" s="258"/>
      <c r="B29" s="258" t="s">
        <v>669</v>
      </c>
      <c r="C29" s="258"/>
      <c r="D29" s="258"/>
      <c r="E29" s="258"/>
      <c r="F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</row>
    <row r="30" spans="1:17" ht="15.6" x14ac:dyDescent="0.25">
      <c r="A30" s="258"/>
      <c r="B30" s="258"/>
      <c r="C30" s="258"/>
      <c r="D30" s="258"/>
      <c r="E30" s="258"/>
      <c r="F30" s="258"/>
      <c r="G30" s="265"/>
      <c r="H30" s="258"/>
      <c r="I30" s="258"/>
      <c r="J30" s="258"/>
      <c r="K30" s="258"/>
      <c r="L30" s="258"/>
      <c r="M30" s="258"/>
      <c r="N30" s="258"/>
      <c r="O30" s="258"/>
      <c r="P30" s="258"/>
      <c r="Q30" s="258"/>
    </row>
    <row r="31" spans="1:17" ht="20.100000000000001" customHeight="1" x14ac:dyDescent="0.25"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</row>
    <row r="32" spans="1:17" ht="15.6" x14ac:dyDescent="0.25">
      <c r="A32" s="267" t="s">
        <v>578</v>
      </c>
      <c r="B32" s="257" t="s">
        <v>583</v>
      </c>
    </row>
    <row r="33" spans="1:17" ht="20.100000000000001" customHeight="1" x14ac:dyDescent="0.25"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</row>
    <row r="34" spans="1:17" ht="20.100000000000001" customHeight="1" x14ac:dyDescent="0.25">
      <c r="B34" s="258" t="s">
        <v>670</v>
      </c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</row>
    <row r="35" spans="1:17" ht="20.100000000000001" customHeight="1" x14ac:dyDescent="0.25">
      <c r="B35" s="258" t="s">
        <v>671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</row>
    <row r="36" spans="1:17" ht="20.100000000000001" customHeight="1" x14ac:dyDescent="0.25">
      <c r="B36" s="258" t="s">
        <v>672</v>
      </c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</row>
    <row r="37" spans="1:17" ht="20.100000000000001" customHeight="1" x14ac:dyDescent="0.25"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</row>
    <row r="38" spans="1:17" ht="20.100000000000001" customHeight="1" x14ac:dyDescent="0.25">
      <c r="B38" s="258" t="s">
        <v>818</v>
      </c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</row>
    <row r="39" spans="1:17" ht="15.6" x14ac:dyDescent="0.25">
      <c r="A39" s="258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</row>
    <row r="40" spans="1:17" ht="15.6" x14ac:dyDescent="0.25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</row>
    <row r="41" spans="1:17" ht="15.6" x14ac:dyDescent="0.25">
      <c r="A41" s="258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</row>
    <row r="42" spans="1:17" ht="15.6" x14ac:dyDescent="0.25">
      <c r="A42" s="267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</row>
    <row r="43" spans="1:17" ht="15.6" x14ac:dyDescent="0.25"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7" ht="15.6" x14ac:dyDescent="0.25"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</row>
  </sheetData>
  <sheetProtection algorithmName="SHA-512" hashValue="hb5HqHJgIJ5tEY0959mRW4X+9bHFbFkz2lvhLk4iVE+RD5bACpZNSdxBVeXy9VYtg52OhrpgD49Iv3gHfuJswQ==" saltValue="Q63mWSEzlnu19tQaKLdirQ==" spinCount="100000" sheet="1" objects="1" scenarios="1"/>
  <printOptions horizontalCentered="1"/>
  <pageMargins left="0" right="0" top="1.3385826771653544" bottom="0.74803149606299213" header="0.9055118110236221" footer="0.31496062992125984"/>
  <pageSetup paperSize="9" scale="85" orientation="landscape" r:id="rId1"/>
  <headerFooter>
    <oddHeader>&amp;C&amp;"David,מודגש"&amp;14&amp;Uהצעת התקציב הבלתי רגיל
לשנת 2017</oddHeader>
    <oddFooter>&amp;Cעמוד &amp;P מתוך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49</vt:i4>
      </vt:variant>
      <vt:variant>
        <vt:lpstr>טווחים בעלי שם</vt:lpstr>
      </vt:variant>
      <vt:variant>
        <vt:i4>48</vt:i4>
      </vt:variant>
    </vt:vector>
  </HeadingPairs>
  <TitlesOfParts>
    <vt:vector size="97" baseType="lpstr">
      <vt:lpstr>תקציב 2017</vt:lpstr>
      <vt:lpstr>תוכן ענינים</vt:lpstr>
      <vt:lpstr>מבוא</vt:lpstr>
      <vt:lpstr>תקציב 2016</vt:lpstr>
      <vt:lpstr>תקציב 2017 </vt:lpstr>
      <vt:lpstr>תקציב 2017 פרקים</vt:lpstr>
      <vt:lpstr>תקציב 2017  אגפים מקורות</vt:lpstr>
      <vt:lpstr>תקציב 2017 קרנות הרשות</vt:lpstr>
      <vt:lpstr>תקציב 2017 מקורות אחרים</vt:lpstr>
      <vt:lpstr>תרשים אגפים</vt:lpstr>
      <vt:lpstr>ריכוז אגפים</vt:lpstr>
      <vt:lpstr>תרשים פרקים</vt:lpstr>
      <vt:lpstr>ריכוז פרקים</vt:lpstr>
      <vt:lpstr>תרשים מקורות מימון</vt:lpstr>
      <vt:lpstr>פרוט מקורות אחרים</vt:lpstr>
      <vt:lpstr>תקציב 2017  הנדסה </vt:lpstr>
      <vt:lpstr>פרוט הנדסה </vt:lpstr>
      <vt:lpstr>תקציב 2017 הח.לפיתוח  </vt:lpstr>
      <vt:lpstr>תקציב 2017 החב.לפיתוח</vt:lpstr>
      <vt:lpstr>פרוט החב. לפיתוח</vt:lpstr>
      <vt:lpstr>תקציב 2017 תבל</vt:lpstr>
      <vt:lpstr>פרוט תבל</vt:lpstr>
      <vt:lpstr>תקציב 2017 בטחון פיקוח </vt:lpstr>
      <vt:lpstr>פרוט בטחון פיקוח </vt:lpstr>
      <vt:lpstr>תקציב 2017 חינוך תנוס</vt:lpstr>
      <vt:lpstr>פרוט חינוך תנוס </vt:lpstr>
      <vt:lpstr>תקציב  שאיפה </vt:lpstr>
      <vt:lpstr>פרוט שאיפה </vt:lpstr>
      <vt:lpstr>תקציב 2017 הח. לתיירות  </vt:lpstr>
      <vt:lpstr>פרוט הח. לתיירות</vt:lpstr>
      <vt:lpstr>תקציב 2017 מיחשוב</vt:lpstr>
      <vt:lpstr>פרוט מחשוב </vt:lpstr>
      <vt:lpstr>תקציב 2017 נכסים  </vt:lpstr>
      <vt:lpstr>פרוט נכסים</vt:lpstr>
      <vt:lpstr>תקציב 2017 שיפוץ חזיתות</vt:lpstr>
      <vt:lpstr>פרוט שיפוצי בתים עמידר </vt:lpstr>
      <vt:lpstr>פרוט כללי </vt:lpstr>
      <vt:lpstr>תקציב 2017 כללי</vt:lpstr>
      <vt:lpstr>הנדסה פרקים</vt:lpstr>
      <vt:lpstr>החברה לפיתוח פרקים</vt:lpstr>
      <vt:lpstr>תבל  פרקים</vt:lpstr>
      <vt:lpstr>ביטחון ופיקוח פרקים</vt:lpstr>
      <vt:lpstr>חינוך תנוס פרקים</vt:lpstr>
      <vt:lpstr>שאיפה  פרקים</vt:lpstr>
      <vt:lpstr>החברה לתיירות פרקים</vt:lpstr>
      <vt:lpstr> מחשוב  פרקים</vt:lpstr>
      <vt:lpstr>נכסים פרקים</vt:lpstr>
      <vt:lpstr>שיפוצי בתים עמידר  פרקים</vt:lpstr>
      <vt:lpstr>כללי  פרקים</vt:lpstr>
      <vt:lpstr>' מחשוב  פרקים'!WPrint_Area_W</vt:lpstr>
      <vt:lpstr>'ביטחון ופיקוח פרקים'!WPrint_Area_W</vt:lpstr>
      <vt:lpstr>'החברה לפיתוח פרקים'!WPrint_Area_W</vt:lpstr>
      <vt:lpstr>'החברה לתיירות פרקים'!WPrint_Area_W</vt:lpstr>
      <vt:lpstr>'הנדסה פרקים'!WPrint_Area_W</vt:lpstr>
      <vt:lpstr>'חינוך תנוס פרקים'!WPrint_Area_W</vt:lpstr>
      <vt:lpstr>'כללי  פרקים'!WPrint_Area_W</vt:lpstr>
      <vt:lpstr>'נכסים פרקים'!WPrint_Area_W</vt:lpstr>
      <vt:lpstr>'פרוט בטחון פיקוח '!WPrint_Area_W</vt:lpstr>
      <vt:lpstr>'פרוט הח. לתיירות'!WPrint_Area_W</vt:lpstr>
      <vt:lpstr>'פרוט החב. לפיתוח'!WPrint_Area_W</vt:lpstr>
      <vt:lpstr>'פרוט הנדסה '!WPrint_Area_W</vt:lpstr>
      <vt:lpstr>'פרוט חינוך תנוס '!WPrint_Area_W</vt:lpstr>
      <vt:lpstr>'פרוט כללי '!WPrint_Area_W</vt:lpstr>
      <vt:lpstr>'פרוט מחשוב '!WPrint_Area_W</vt:lpstr>
      <vt:lpstr>'פרוט מקורות אחרים'!WPrint_Area_W</vt:lpstr>
      <vt:lpstr>'פרוט נכסים'!WPrint_Area_W</vt:lpstr>
      <vt:lpstr>'פרוט שאיפה '!WPrint_Area_W</vt:lpstr>
      <vt:lpstr>'פרוט שיפוצי בתים עמידר '!WPrint_Area_W</vt:lpstr>
      <vt:lpstr>'פרוט תבל'!WPrint_Area_W</vt:lpstr>
      <vt:lpstr>'ריכוז אגפים'!WPrint_Area_W</vt:lpstr>
      <vt:lpstr>'ריכוז פרקים'!WPrint_Area_W</vt:lpstr>
      <vt:lpstr>'שאיפה  פרקים'!WPrint_Area_W</vt:lpstr>
      <vt:lpstr>'שיפוצי בתים עמידר  פרקים'!WPrint_Area_W</vt:lpstr>
      <vt:lpstr>'תבל  פרקים'!WPrint_Area_W</vt:lpstr>
      <vt:lpstr>'תקציב 2017 קרנות הרשות'!WPrint_Area_W</vt:lpstr>
      <vt:lpstr>'ביטחון ופיקוח פרקים'!WPrint_TitlesW</vt:lpstr>
      <vt:lpstr>'החברה לפיתוח פרקים'!WPrint_TitlesW</vt:lpstr>
      <vt:lpstr>'החברה לתיירות פרקים'!WPrint_TitlesW</vt:lpstr>
      <vt:lpstr>'הנדסה פרקים'!WPrint_TitlesW</vt:lpstr>
      <vt:lpstr>'חינוך תנוס פרקים'!WPrint_TitlesW</vt:lpstr>
      <vt:lpstr>'כללי  פרקים'!WPrint_TitlesW</vt:lpstr>
      <vt:lpstr>'נכסים פרקים'!WPrint_TitlesW</vt:lpstr>
      <vt:lpstr>'פרוט בטחון פיקוח '!WPrint_TitlesW</vt:lpstr>
      <vt:lpstr>'פרוט הח. לתיירות'!WPrint_TitlesW</vt:lpstr>
      <vt:lpstr>'פרוט החב. לפיתוח'!WPrint_TitlesW</vt:lpstr>
      <vt:lpstr>'פרוט הנדסה '!WPrint_TitlesW</vt:lpstr>
      <vt:lpstr>'פרוט חינוך תנוס '!WPrint_TitlesW</vt:lpstr>
      <vt:lpstr>'פרוט כללי '!WPrint_TitlesW</vt:lpstr>
      <vt:lpstr>'פרוט נכסים'!WPrint_TitlesW</vt:lpstr>
      <vt:lpstr>'פרוט שאיפה '!WPrint_TitlesW</vt:lpstr>
      <vt:lpstr>'פרוט שיפוצי בתים עמידר '!WPrint_TitlesW</vt:lpstr>
      <vt:lpstr>'פרוט תבל'!WPrint_TitlesW</vt:lpstr>
      <vt:lpstr>'ריכוז אגפים'!WPrint_TitlesW</vt:lpstr>
      <vt:lpstr>'ריכוז פרקים'!WPrint_TitlesW</vt:lpstr>
      <vt:lpstr>'שאיפה  פרקים'!WPrint_TitlesW</vt:lpstr>
      <vt:lpstr>'שיפוצי בתים עמידר  פרקים'!WPrint_TitlesW</vt:lpstr>
      <vt:lpstr>'תבל  פרקים'!WPrint_TitlesW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Gizbarut-Orna Goldfriend</dc:creator>
  <cp:lastModifiedBy>Dover-Avner Perlmutter</cp:lastModifiedBy>
  <cp:lastPrinted>2016-11-10T05:30:33Z</cp:lastPrinted>
  <dcterms:created xsi:type="dcterms:W3CDTF">2014-10-19T04:47:46Z</dcterms:created>
  <dcterms:modified xsi:type="dcterms:W3CDTF">2016-11-30T11:06:03Z</dcterms:modified>
</cp:coreProperties>
</file>