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D0bK7w1AYwwKUB9XbB7Td8+RtA/w543MSLYM4AkF6TAuuAw8ATuPH8ud+ZWJibJ83WBjb+W6m52xPC6cUuzS3A==" workbookSaltValue="b2QekDXrTMdbhgsRw0hfAA==" workbookSpinCount="100000" lockStructure="1"/>
  <bookViews>
    <workbookView xWindow="480" yWindow="2220" windowWidth="18240" windowHeight="9156"/>
  </bookViews>
  <sheets>
    <sheet name="ריכוז אגפים" sheetId="12" r:id="rId1"/>
    <sheet name="כללי" sheetId="11" r:id="rId2"/>
    <sheet name="שיפוצי בתים עמידר" sheetId="10" r:id="rId3"/>
    <sheet name="נכסים" sheetId="9" r:id="rId4"/>
    <sheet name="מיחשוב " sheetId="22" r:id="rId5"/>
    <sheet name="החברה לתיירות " sheetId="19" r:id="rId6"/>
    <sheet name="שאיפה " sheetId="20" r:id="rId7"/>
    <sheet name="חינוך תנוס " sheetId="18" r:id="rId8"/>
    <sheet name="בטחון" sheetId="24" r:id="rId9"/>
    <sheet name="תבל " sheetId="17" r:id="rId10"/>
    <sheet name="החברה לפיתוח " sheetId="15" r:id="rId11"/>
    <sheet name="הנדסה " sheetId="14" r:id="rId12"/>
  </sheets>
  <externalReferences>
    <externalReference r:id="rId13"/>
    <externalReference r:id="rId14"/>
    <externalReference r:id="rId15"/>
  </externalReferences>
  <definedNames>
    <definedName name="_xlnm._FilterDatabase" localSheetId="10" hidden="1">'החברה לפיתוח '!$B$5:$S$57</definedName>
    <definedName name="_xlnm.Print_Area" localSheetId="8">בטחון!$A$1:$Y$9</definedName>
    <definedName name="_xlnm.Print_Area" localSheetId="10">'החברה לפיתוח '!$A$1:$Y$55</definedName>
    <definedName name="_xlnm.Print_Area" localSheetId="5">'החברה לתיירות '!$A$1:$Y$26</definedName>
    <definedName name="_xlnm.Print_Area" localSheetId="11">'הנדסה '!$A$1:$Y$179</definedName>
    <definedName name="_xlnm.Print_Area" localSheetId="7">'חינוך תנוס '!$A$1:$Y$42</definedName>
    <definedName name="_xlnm.Print_Area" localSheetId="1">כללי!$A$1:$W$17</definedName>
    <definedName name="_xlnm.Print_Area" localSheetId="4">'מיחשוב '!$A$1:$Y$21</definedName>
    <definedName name="_xlnm.Print_Area" localSheetId="3">נכסים!$A$1:$Y$29</definedName>
    <definedName name="_xlnm.Print_Area" localSheetId="0">'ריכוז אגפים'!$A$1:$W$34</definedName>
    <definedName name="_xlnm.Print_Area" localSheetId="6">'שאיפה '!$A$1:$Y$60</definedName>
    <definedName name="_xlnm.Print_Area" localSheetId="2">'שיפוצי בתים עמידר'!$A$1:$Y$11</definedName>
    <definedName name="_xlnm.Print_Area" localSheetId="9">'תבל '!$A$1:$Y$80</definedName>
    <definedName name="_xlnm.Print_Titles" localSheetId="10">'החברה לפיתוח '!$2:$5</definedName>
    <definedName name="_xlnm.Print_Titles" localSheetId="5">'החברה לתיירות '!$2:$5</definedName>
    <definedName name="_xlnm.Print_Titles" localSheetId="11">'הנדסה '!$2:$5</definedName>
    <definedName name="_xlnm.Print_Titles" localSheetId="7">'חינוך תנוס '!$2:$5</definedName>
    <definedName name="_xlnm.Print_Titles" localSheetId="1">כללי!$2:$5</definedName>
    <definedName name="_xlnm.Print_Titles" localSheetId="4">'מיחשוב '!$2:$5</definedName>
    <definedName name="_xlnm.Print_Titles" localSheetId="3">נכסים!$2:$5</definedName>
    <definedName name="_xlnm.Print_Titles" localSheetId="6">'שאיפה '!$2:$5</definedName>
    <definedName name="_xlnm.Print_Titles" localSheetId="2">'שיפוצי בתים עמידר'!$2:$5</definedName>
    <definedName name="_xlnm.Print_Titles" localSheetId="9">'תבל '!$2:$5</definedName>
  </definedNames>
  <calcPr calcId="162913"/>
</workbook>
</file>

<file path=xl/calcChain.xml><?xml version="1.0" encoding="utf-8"?>
<calcChain xmlns="http://schemas.openxmlformats.org/spreadsheetml/2006/main">
  <c r="D15" i="11" l="1"/>
  <c r="N15" i="11"/>
  <c r="D52" i="20" l="1"/>
  <c r="D13" i="11" l="1"/>
  <c r="W13" i="11" l="1"/>
  <c r="N61" i="17"/>
  <c r="N29" i="18"/>
  <c r="N29" i="17"/>
  <c r="N27" i="17"/>
  <c r="N25" i="17"/>
  <c r="N22" i="17"/>
  <c r="N21" i="17"/>
  <c r="N20" i="17"/>
  <c r="N17" i="17"/>
  <c r="N12" i="17"/>
  <c r="N17" i="22" l="1"/>
  <c r="N14" i="22"/>
  <c r="N22" i="20"/>
  <c r="N8" i="20"/>
  <c r="D38" i="18"/>
  <c r="N32" i="18"/>
  <c r="N33" i="17"/>
  <c r="N78" i="17"/>
  <c r="N77" i="17"/>
  <c r="N74" i="17"/>
  <c r="D74" i="17"/>
  <c r="N73" i="17"/>
  <c r="N72" i="17"/>
  <c r="N71" i="17"/>
  <c r="N45" i="17"/>
  <c r="N28" i="17"/>
  <c r="N13" i="17"/>
  <c r="N101" i="14"/>
  <c r="N100" i="14"/>
  <c r="N96" i="14"/>
  <c r="N20" i="14"/>
  <c r="S21" i="14" l="1"/>
  <c r="K21" i="14"/>
  <c r="L21" i="14" s="1"/>
  <c r="P21" i="14" s="1"/>
  <c r="N84" i="14"/>
  <c r="N59" i="14"/>
  <c r="D58" i="14"/>
  <c r="M21" i="14" l="1"/>
  <c r="O21" i="14" s="1"/>
  <c r="T21" i="14" l="1"/>
  <c r="U21" i="14" s="1"/>
  <c r="V21" i="14" s="1"/>
  <c r="D7" i="10" l="1"/>
  <c r="Y25" i="18"/>
  <c r="X25" i="18"/>
  <c r="V25" i="18"/>
  <c r="R25" i="18"/>
  <c r="Q25" i="18"/>
  <c r="N25" i="18"/>
  <c r="J25" i="18"/>
  <c r="I25" i="18"/>
  <c r="H25" i="18"/>
  <c r="G25" i="18"/>
  <c r="E25" i="18"/>
  <c r="S24" i="18"/>
  <c r="K24" i="18"/>
  <c r="L24" i="18" s="1"/>
  <c r="F24" i="18"/>
  <c r="S23" i="18"/>
  <c r="K23" i="18"/>
  <c r="L23" i="18" s="1"/>
  <c r="P23" i="18" s="1"/>
  <c r="F23" i="18"/>
  <c r="S22" i="18"/>
  <c r="K22" i="18"/>
  <c r="L22" i="18" s="1"/>
  <c r="F22" i="18"/>
  <c r="S21" i="18"/>
  <c r="K21" i="18"/>
  <c r="L21" i="18" s="1"/>
  <c r="D21" i="18"/>
  <c r="F21" i="18" s="1"/>
  <c r="S20" i="18"/>
  <c r="K20" i="18"/>
  <c r="L20" i="18" s="1"/>
  <c r="D20" i="18"/>
  <c r="F20" i="18" s="1"/>
  <c r="S19" i="18"/>
  <c r="K19" i="18"/>
  <c r="L19" i="18" s="1"/>
  <c r="D19" i="18"/>
  <c r="F19" i="18" s="1"/>
  <c r="S18" i="18"/>
  <c r="K18" i="18"/>
  <c r="L18" i="18" s="1"/>
  <c r="F18" i="18"/>
  <c r="S17" i="18"/>
  <c r="K17" i="18"/>
  <c r="L17" i="18" s="1"/>
  <c r="P17" i="18" s="1"/>
  <c r="D17" i="18"/>
  <c r="S16" i="18"/>
  <c r="K16" i="18"/>
  <c r="L16" i="18" s="1"/>
  <c r="F16" i="18"/>
  <c r="S15" i="18"/>
  <c r="K15" i="18"/>
  <c r="L15" i="18" s="1"/>
  <c r="F15" i="18"/>
  <c r="S14" i="18"/>
  <c r="K14" i="18"/>
  <c r="L14" i="18" s="1"/>
  <c r="F14" i="18"/>
  <c r="S13" i="18"/>
  <c r="K13" i="18"/>
  <c r="L13" i="18" s="1"/>
  <c r="P13" i="18" s="1"/>
  <c r="F13" i="18"/>
  <c r="S12" i="18"/>
  <c r="K12" i="18"/>
  <c r="L12" i="18" s="1"/>
  <c r="F12" i="18"/>
  <c r="S11" i="18"/>
  <c r="K11" i="18"/>
  <c r="L11" i="18" s="1"/>
  <c r="F11" i="18"/>
  <c r="S10" i="18"/>
  <c r="K10" i="18"/>
  <c r="L10" i="18" s="1"/>
  <c r="P10" i="18" s="1"/>
  <c r="F10" i="18"/>
  <c r="S9" i="18"/>
  <c r="K9" i="18"/>
  <c r="L9" i="18" s="1"/>
  <c r="P9" i="18" s="1"/>
  <c r="F9" i="18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S8" i="18"/>
  <c r="K8" i="18"/>
  <c r="F8" i="18"/>
  <c r="T7" i="18"/>
  <c r="U7" i="18" s="1"/>
  <c r="S25" i="18" l="1"/>
  <c r="M10" i="18"/>
  <c r="T10" i="18" s="1"/>
  <c r="U10" i="18" s="1"/>
  <c r="W10" i="18" s="1"/>
  <c r="P24" i="18"/>
  <c r="M9" i="18"/>
  <c r="T9" i="18" s="1"/>
  <c r="U9" i="18" s="1"/>
  <c r="W9" i="18" s="1"/>
  <c r="P14" i="18"/>
  <c r="P22" i="18"/>
  <c r="M23" i="18"/>
  <c r="T23" i="18" s="1"/>
  <c r="U23" i="18" s="1"/>
  <c r="W23" i="18" s="1"/>
  <c r="P11" i="18"/>
  <c r="P12" i="18"/>
  <c r="P15" i="18"/>
  <c r="P16" i="18"/>
  <c r="F17" i="18"/>
  <c r="F25" i="18" s="1"/>
  <c r="D25" i="18"/>
  <c r="P18" i="18"/>
  <c r="P19" i="18"/>
  <c r="P20" i="18"/>
  <c r="P21" i="18"/>
  <c r="K25" i="18"/>
  <c r="M13" i="18"/>
  <c r="O13" i="18" s="1"/>
  <c r="M17" i="18"/>
  <c r="T17" i="18" s="1"/>
  <c r="U17" i="18" s="1"/>
  <c r="W17" i="18" s="1"/>
  <c r="L8" i="18"/>
  <c r="O17" i="18" l="1"/>
  <c r="O23" i="18"/>
  <c r="O10" i="18"/>
  <c r="P8" i="18"/>
  <c r="L25" i="18"/>
  <c r="M21" i="18"/>
  <c r="O21" i="18" s="1"/>
  <c r="M16" i="18"/>
  <c r="O16" i="18" s="1"/>
  <c r="T16" i="18"/>
  <c r="U16" i="18" s="1"/>
  <c r="W16" i="18" s="1"/>
  <c r="M12" i="18"/>
  <c r="O12" i="18" s="1"/>
  <c r="M24" i="18"/>
  <c r="O24" i="18" s="1"/>
  <c r="T24" i="18"/>
  <c r="U24" i="18" s="1"/>
  <c r="W24" i="18" s="1"/>
  <c r="T13" i="18"/>
  <c r="U13" i="18" s="1"/>
  <c r="W13" i="18" s="1"/>
  <c r="M19" i="18"/>
  <c r="O19" i="18" s="1"/>
  <c r="M14" i="18"/>
  <c r="O14" i="18" s="1"/>
  <c r="M15" i="18"/>
  <c r="O15" i="18" s="1"/>
  <c r="M11" i="18"/>
  <c r="O11" i="18" s="1"/>
  <c r="M20" i="18"/>
  <c r="O20" i="18" s="1"/>
  <c r="M18" i="18"/>
  <c r="O18" i="18" s="1"/>
  <c r="O9" i="18"/>
  <c r="M22" i="18"/>
  <c r="O22" i="18" s="1"/>
  <c r="T18" i="18" l="1"/>
  <c r="U18" i="18" s="1"/>
  <c r="W18" i="18" s="1"/>
  <c r="T14" i="18"/>
  <c r="U14" i="18" s="1"/>
  <c r="W14" i="18" s="1"/>
  <c r="T11" i="18"/>
  <c r="U11" i="18" s="1"/>
  <c r="W11" i="18" s="1"/>
  <c r="T12" i="18"/>
  <c r="U12" i="18" s="1"/>
  <c r="W12" i="18" s="1"/>
  <c r="T22" i="18"/>
  <c r="U22" i="18" s="1"/>
  <c r="W22" i="18" s="1"/>
  <c r="T20" i="18"/>
  <c r="U20" i="18" s="1"/>
  <c r="W20" i="18" s="1"/>
  <c r="T15" i="18"/>
  <c r="U15" i="18" s="1"/>
  <c r="W15" i="18" s="1"/>
  <c r="T19" i="18"/>
  <c r="U19" i="18" s="1"/>
  <c r="W19" i="18" s="1"/>
  <c r="P25" i="18"/>
  <c r="M8" i="18"/>
  <c r="T21" i="18"/>
  <c r="U21" i="18" s="1"/>
  <c r="W21" i="18" s="1"/>
  <c r="M25" i="18" l="1"/>
  <c r="O8" i="18"/>
  <c r="O25" i="18" s="1"/>
  <c r="T8" i="18"/>
  <c r="U8" i="18" l="1"/>
  <c r="T25" i="18"/>
  <c r="W8" i="18" l="1"/>
  <c r="W25" i="18" s="1"/>
  <c r="U25" i="18"/>
  <c r="A7" i="24" l="1"/>
  <c r="A8" i="24" s="1"/>
  <c r="A9" i="24" s="1"/>
  <c r="Y13" i="12" s="1"/>
  <c r="D8" i="22"/>
  <c r="D73" i="17"/>
  <c r="Y76" i="17"/>
  <c r="D76" i="17"/>
  <c r="Y61" i="17"/>
  <c r="S52" i="15"/>
  <c r="K52" i="15"/>
  <c r="L52" i="15" s="1"/>
  <c r="P52" i="15" s="1"/>
  <c r="F52" i="15"/>
  <c r="N8" i="14"/>
  <c r="Y21" i="12"/>
  <c r="M52" i="15" l="1"/>
  <c r="O52" i="15" s="1"/>
  <c r="T52" i="15" l="1"/>
  <c r="U52" i="15" s="1"/>
  <c r="W52" i="15" s="1"/>
  <c r="D9" i="11"/>
  <c r="D9" i="22"/>
  <c r="D11" i="22"/>
  <c r="D10" i="22"/>
  <c r="S20" i="19"/>
  <c r="T20" i="19" s="1"/>
  <c r="U20" i="19" s="1"/>
  <c r="V20" i="19" s="1"/>
  <c r="O20" i="19"/>
  <c r="F20" i="19"/>
  <c r="S46" i="20"/>
  <c r="P46" i="20"/>
  <c r="T46" i="20" s="1"/>
  <c r="U46" i="20" s="1"/>
  <c r="W46" i="20" s="1"/>
  <c r="O46" i="20"/>
  <c r="F46" i="20"/>
  <c r="U75" i="17"/>
  <c r="W75" i="17" s="1"/>
  <c r="D75" i="17"/>
  <c r="O75" i="17" s="1"/>
  <c r="S63" i="17"/>
  <c r="K63" i="17"/>
  <c r="L63" i="17" s="1"/>
  <c r="F63" i="17"/>
  <c r="S45" i="17"/>
  <c r="K45" i="17"/>
  <c r="L45" i="17" s="1"/>
  <c r="P45" i="17" s="1"/>
  <c r="D45" i="17"/>
  <c r="S44" i="17"/>
  <c r="K44" i="17"/>
  <c r="L44" i="17" s="1"/>
  <c r="P44" i="17" s="1"/>
  <c r="F44" i="17"/>
  <c r="S40" i="17"/>
  <c r="K40" i="17"/>
  <c r="L40" i="17" s="1"/>
  <c r="F40" i="17"/>
  <c r="S38" i="17"/>
  <c r="K38" i="17"/>
  <c r="L38" i="17" s="1"/>
  <c r="F38" i="17"/>
  <c r="S13" i="17"/>
  <c r="K13" i="17"/>
  <c r="L13" i="17" s="1"/>
  <c r="P13" i="17" s="1"/>
  <c r="F13" i="17"/>
  <c r="S67" i="17"/>
  <c r="K67" i="17"/>
  <c r="L67" i="17" s="1"/>
  <c r="P67" i="17" s="1"/>
  <c r="D67" i="17"/>
  <c r="S65" i="17"/>
  <c r="K65" i="17"/>
  <c r="L65" i="17" s="1"/>
  <c r="F65" i="17"/>
  <c r="S62" i="17"/>
  <c r="K62" i="17"/>
  <c r="L62" i="17" s="1"/>
  <c r="P62" i="17" s="1"/>
  <c r="F62" i="17"/>
  <c r="S60" i="17"/>
  <c r="K60" i="17"/>
  <c r="L60" i="17" s="1"/>
  <c r="P60" i="17" s="1"/>
  <c r="F60" i="17"/>
  <c r="S59" i="17"/>
  <c r="P59" i="17"/>
  <c r="K59" i="17"/>
  <c r="F59" i="17"/>
  <c r="S58" i="17"/>
  <c r="K58" i="17"/>
  <c r="L58" i="17" s="1"/>
  <c r="P58" i="17" s="1"/>
  <c r="F58" i="17"/>
  <c r="S57" i="17"/>
  <c r="K57" i="17"/>
  <c r="L57" i="17" s="1"/>
  <c r="P57" i="17" s="1"/>
  <c r="F57" i="17"/>
  <c r="S56" i="17"/>
  <c r="K56" i="17"/>
  <c r="L56" i="17" s="1"/>
  <c r="P56" i="17" s="1"/>
  <c r="F56" i="17"/>
  <c r="S55" i="17"/>
  <c r="K55" i="17"/>
  <c r="L55" i="17" s="1"/>
  <c r="F55" i="17"/>
  <c r="S54" i="17"/>
  <c r="K54" i="17"/>
  <c r="L54" i="17" s="1"/>
  <c r="P54" i="17" s="1"/>
  <c r="F54" i="17"/>
  <c r="S53" i="17"/>
  <c r="K53" i="17"/>
  <c r="L53" i="17" s="1"/>
  <c r="P53" i="17" s="1"/>
  <c r="F53" i="17"/>
  <c r="S52" i="17"/>
  <c r="K52" i="17"/>
  <c r="L52" i="17" s="1"/>
  <c r="P52" i="17" s="1"/>
  <c r="F52" i="17"/>
  <c r="S51" i="17"/>
  <c r="K51" i="17"/>
  <c r="L51" i="17" s="1"/>
  <c r="P51" i="17" s="1"/>
  <c r="D51" i="17"/>
  <c r="S50" i="17"/>
  <c r="K50" i="17"/>
  <c r="L50" i="17" s="1"/>
  <c r="F50" i="17"/>
  <c r="S49" i="17"/>
  <c r="K49" i="17"/>
  <c r="L49" i="17" s="1"/>
  <c r="F49" i="17"/>
  <c r="S48" i="17"/>
  <c r="K48" i="17"/>
  <c r="L48" i="17" s="1"/>
  <c r="P48" i="17" s="1"/>
  <c r="D48" i="17"/>
  <c r="F48" i="17" s="1"/>
  <c r="S47" i="17"/>
  <c r="K47" i="17"/>
  <c r="L47" i="17" s="1"/>
  <c r="P47" i="17" s="1"/>
  <c r="F47" i="17"/>
  <c r="S46" i="17"/>
  <c r="K46" i="17"/>
  <c r="L46" i="17" s="1"/>
  <c r="P46" i="17" s="1"/>
  <c r="F46" i="17"/>
  <c r="S43" i="17"/>
  <c r="K43" i="17"/>
  <c r="L43" i="17" s="1"/>
  <c r="F43" i="17"/>
  <c r="S42" i="17"/>
  <c r="K42" i="17"/>
  <c r="L42" i="17" s="1"/>
  <c r="F42" i="17"/>
  <c r="S41" i="17"/>
  <c r="K41" i="17"/>
  <c r="L41" i="17" s="1"/>
  <c r="P41" i="17" s="1"/>
  <c r="F41" i="17"/>
  <c r="S36" i="17"/>
  <c r="K36" i="17"/>
  <c r="L36" i="17" s="1"/>
  <c r="P36" i="17" s="1"/>
  <c r="F36" i="17"/>
  <c r="S34" i="17"/>
  <c r="K34" i="17"/>
  <c r="L34" i="17" s="1"/>
  <c r="F34" i="17"/>
  <c r="S19" i="17"/>
  <c r="K19" i="17"/>
  <c r="L19" i="17" s="1"/>
  <c r="F19" i="17"/>
  <c r="S15" i="17"/>
  <c r="K15" i="17"/>
  <c r="L15" i="17" s="1"/>
  <c r="P15" i="17" s="1"/>
  <c r="E15" i="17"/>
  <c r="D15" i="17"/>
  <c r="S14" i="17"/>
  <c r="K14" i="17"/>
  <c r="L14" i="17" s="1"/>
  <c r="P14" i="17" s="1"/>
  <c r="F14" i="17"/>
  <c r="S10" i="17"/>
  <c r="K10" i="17"/>
  <c r="L10" i="17" s="1"/>
  <c r="P10" i="17" s="1"/>
  <c r="F10" i="17"/>
  <c r="S39" i="17"/>
  <c r="K39" i="17"/>
  <c r="L39" i="17" s="1"/>
  <c r="P39" i="17" s="1"/>
  <c r="F39" i="17"/>
  <c r="S11" i="17"/>
  <c r="K11" i="17"/>
  <c r="L11" i="17" s="1"/>
  <c r="F11" i="17"/>
  <c r="S35" i="17"/>
  <c r="K35" i="17"/>
  <c r="L35" i="17" s="1"/>
  <c r="P35" i="17" s="1"/>
  <c r="D35" i="17"/>
  <c r="S32" i="17"/>
  <c r="K32" i="17"/>
  <c r="L32" i="17" s="1"/>
  <c r="P32" i="17" s="1"/>
  <c r="F32" i="17"/>
  <c r="S31" i="17"/>
  <c r="K31" i="17"/>
  <c r="L31" i="17" s="1"/>
  <c r="F31" i="17"/>
  <c r="S12" i="17"/>
  <c r="K12" i="17"/>
  <c r="L12" i="17" s="1"/>
  <c r="D12" i="17"/>
  <c r="F12" i="17" s="1"/>
  <c r="S9" i="17"/>
  <c r="K9" i="17"/>
  <c r="L9" i="17" s="1"/>
  <c r="D9" i="17"/>
  <c r="F9" i="17" s="1"/>
  <c r="D70" i="17"/>
  <c r="S37" i="15"/>
  <c r="K37" i="15"/>
  <c r="L37" i="15" s="1"/>
  <c r="P37" i="15" s="1"/>
  <c r="F37" i="15"/>
  <c r="D50" i="15"/>
  <c r="F50" i="15" s="1"/>
  <c r="D41" i="15"/>
  <c r="D29" i="15"/>
  <c r="D8" i="15"/>
  <c r="AF51" i="15"/>
  <c r="S51" i="15"/>
  <c r="K51" i="15"/>
  <c r="L51" i="15" s="1"/>
  <c r="P51" i="15" s="1"/>
  <c r="F51" i="15"/>
  <c r="S50" i="15"/>
  <c r="K50" i="15"/>
  <c r="L50" i="15" s="1"/>
  <c r="S49" i="15"/>
  <c r="K49" i="15"/>
  <c r="L49" i="15" s="1"/>
  <c r="F49" i="15"/>
  <c r="S47" i="15"/>
  <c r="K47" i="15"/>
  <c r="L47" i="15" s="1"/>
  <c r="G47" i="15"/>
  <c r="F47" i="15"/>
  <c r="S42" i="15"/>
  <c r="K42" i="15"/>
  <c r="L42" i="15" s="1"/>
  <c r="P42" i="15" s="1"/>
  <c r="F42" i="15"/>
  <c r="S41" i="15"/>
  <c r="K41" i="15"/>
  <c r="L41" i="15" s="1"/>
  <c r="G41" i="15"/>
  <c r="S40" i="15"/>
  <c r="K40" i="15"/>
  <c r="L40" i="15" s="1"/>
  <c r="P40" i="15" s="1"/>
  <c r="F40" i="15"/>
  <c r="S39" i="15"/>
  <c r="K39" i="15"/>
  <c r="L39" i="15" s="1"/>
  <c r="F39" i="15"/>
  <c r="S38" i="15"/>
  <c r="K38" i="15"/>
  <c r="L38" i="15" s="1"/>
  <c r="F38" i="15"/>
  <c r="S35" i="15"/>
  <c r="K35" i="15"/>
  <c r="L35" i="15" s="1"/>
  <c r="P35" i="15" s="1"/>
  <c r="F35" i="15"/>
  <c r="S34" i="15"/>
  <c r="K34" i="15"/>
  <c r="L34" i="15" s="1"/>
  <c r="P34" i="15" s="1"/>
  <c r="F34" i="15"/>
  <c r="S33" i="15"/>
  <c r="K33" i="15"/>
  <c r="L33" i="15" s="1"/>
  <c r="F33" i="15"/>
  <c r="S32" i="15"/>
  <c r="K32" i="15"/>
  <c r="L32" i="15" s="1"/>
  <c r="F32" i="15"/>
  <c r="S31" i="15"/>
  <c r="K31" i="15"/>
  <c r="L31" i="15" s="1"/>
  <c r="P31" i="15" s="1"/>
  <c r="F31" i="15"/>
  <c r="S30" i="15"/>
  <c r="K30" i="15"/>
  <c r="L30" i="15" s="1"/>
  <c r="P30" i="15" s="1"/>
  <c r="F30" i="15"/>
  <c r="S29" i="15"/>
  <c r="K29" i="15"/>
  <c r="L29" i="15" s="1"/>
  <c r="P29" i="15" s="1"/>
  <c r="S25" i="15"/>
  <c r="K25" i="15"/>
  <c r="L25" i="15" s="1"/>
  <c r="G25" i="15"/>
  <c r="F25" i="15"/>
  <c r="S22" i="15"/>
  <c r="K22" i="15"/>
  <c r="L22" i="15" s="1"/>
  <c r="F22" i="15"/>
  <c r="S21" i="15"/>
  <c r="K21" i="15"/>
  <c r="L21" i="15" s="1"/>
  <c r="F21" i="15"/>
  <c r="S20" i="15"/>
  <c r="K20" i="15"/>
  <c r="L20" i="15" s="1"/>
  <c r="P20" i="15" s="1"/>
  <c r="F20" i="15"/>
  <c r="S15" i="15"/>
  <c r="K15" i="15"/>
  <c r="L15" i="15" s="1"/>
  <c r="P15" i="15" s="1"/>
  <c r="F15" i="15"/>
  <c r="S10" i="15"/>
  <c r="K10" i="15"/>
  <c r="L10" i="15" s="1"/>
  <c r="G10" i="15"/>
  <c r="F10" i="15"/>
  <c r="S8" i="15"/>
  <c r="K8" i="15"/>
  <c r="L8" i="15" s="1"/>
  <c r="P8" i="15" s="1"/>
  <c r="U53" i="15"/>
  <c r="W53" i="15" s="1"/>
  <c r="O53" i="15"/>
  <c r="F53" i="15"/>
  <c r="S36" i="15"/>
  <c r="K36" i="15"/>
  <c r="L36" i="15" s="1"/>
  <c r="P36" i="15" s="1"/>
  <c r="D36" i="15"/>
  <c r="S28" i="15"/>
  <c r="K28" i="15"/>
  <c r="L28" i="15" s="1"/>
  <c r="P28" i="15" s="1"/>
  <c r="F28" i="15"/>
  <c r="S26" i="15"/>
  <c r="N26" i="15"/>
  <c r="K26" i="15"/>
  <c r="L26" i="15" s="1"/>
  <c r="P26" i="15" s="1"/>
  <c r="D26" i="15"/>
  <c r="S17" i="15"/>
  <c r="K17" i="15"/>
  <c r="L17" i="15" s="1"/>
  <c r="P17" i="15" s="1"/>
  <c r="F17" i="15"/>
  <c r="S13" i="15"/>
  <c r="K13" i="15"/>
  <c r="L13" i="15" s="1"/>
  <c r="P13" i="15" s="1"/>
  <c r="F13" i="15"/>
  <c r="D63" i="14"/>
  <c r="F63" i="14" s="1"/>
  <c r="S63" i="14"/>
  <c r="K63" i="14"/>
  <c r="L63" i="14" s="1"/>
  <c r="P63" i="14" s="1"/>
  <c r="S172" i="14"/>
  <c r="K172" i="14"/>
  <c r="L172" i="14" s="1"/>
  <c r="P172" i="14" s="1"/>
  <c r="D172" i="14"/>
  <c r="S171" i="14"/>
  <c r="K171" i="14"/>
  <c r="L171" i="14" s="1"/>
  <c r="P171" i="14" s="1"/>
  <c r="F171" i="14"/>
  <c r="S170" i="14"/>
  <c r="K170" i="14"/>
  <c r="L170" i="14" s="1"/>
  <c r="F170" i="14"/>
  <c r="Q166" i="14"/>
  <c r="S166" i="14" s="1"/>
  <c r="K166" i="14"/>
  <c r="L166" i="14" s="1"/>
  <c r="F166" i="14"/>
  <c r="Q165" i="14"/>
  <c r="S165" i="14" s="1"/>
  <c r="K165" i="14"/>
  <c r="L165" i="14" s="1"/>
  <c r="F165" i="14"/>
  <c r="S164" i="14"/>
  <c r="K164" i="14"/>
  <c r="L164" i="14" s="1"/>
  <c r="F164" i="14"/>
  <c r="S163" i="14"/>
  <c r="K163" i="14"/>
  <c r="L163" i="14" s="1"/>
  <c r="P163" i="14" s="1"/>
  <c r="F163" i="14"/>
  <c r="S161" i="14"/>
  <c r="K161" i="14"/>
  <c r="L161" i="14" s="1"/>
  <c r="P161" i="14" s="1"/>
  <c r="F161" i="14"/>
  <c r="S160" i="14"/>
  <c r="K160" i="14"/>
  <c r="L160" i="14" s="1"/>
  <c r="F160" i="14"/>
  <c r="S159" i="14"/>
  <c r="K159" i="14"/>
  <c r="L159" i="14" s="1"/>
  <c r="P159" i="14" s="1"/>
  <c r="F159" i="14"/>
  <c r="S158" i="14"/>
  <c r="K158" i="14"/>
  <c r="L158" i="14" s="1"/>
  <c r="P158" i="14" s="1"/>
  <c r="F158" i="14"/>
  <c r="S145" i="14"/>
  <c r="K145" i="14"/>
  <c r="L145" i="14" s="1"/>
  <c r="P145" i="14" s="1"/>
  <c r="D145" i="14"/>
  <c r="S144" i="14"/>
  <c r="K144" i="14"/>
  <c r="L144" i="14" s="1"/>
  <c r="P144" i="14" s="1"/>
  <c r="F144" i="14"/>
  <c r="S143" i="14"/>
  <c r="K143" i="14"/>
  <c r="L143" i="14" s="1"/>
  <c r="D143" i="14"/>
  <c r="F143" i="14" s="1"/>
  <c r="S142" i="14"/>
  <c r="K142" i="14"/>
  <c r="L142" i="14" s="1"/>
  <c r="F142" i="14"/>
  <c r="S141" i="14"/>
  <c r="K141" i="14"/>
  <c r="L141" i="14" s="1"/>
  <c r="F141" i="14"/>
  <c r="S139" i="14"/>
  <c r="K139" i="14"/>
  <c r="L139" i="14" s="1"/>
  <c r="P139" i="14" s="1"/>
  <c r="F139" i="14"/>
  <c r="S138" i="14"/>
  <c r="K138" i="14"/>
  <c r="L138" i="14" s="1"/>
  <c r="P138" i="14" s="1"/>
  <c r="F138" i="14"/>
  <c r="S137" i="14"/>
  <c r="K137" i="14"/>
  <c r="L137" i="14" s="1"/>
  <c r="F137" i="14"/>
  <c r="S135" i="14"/>
  <c r="K135" i="14"/>
  <c r="L135" i="14" s="1"/>
  <c r="D135" i="14"/>
  <c r="F135" i="14" s="1"/>
  <c r="S134" i="14"/>
  <c r="K134" i="14"/>
  <c r="L134" i="14" s="1"/>
  <c r="F134" i="14"/>
  <c r="S133" i="14"/>
  <c r="K133" i="14"/>
  <c r="L133" i="14" s="1"/>
  <c r="P133" i="14" s="1"/>
  <c r="D133" i="14"/>
  <c r="S131" i="14"/>
  <c r="K131" i="14"/>
  <c r="L131" i="14" s="1"/>
  <c r="P131" i="14" s="1"/>
  <c r="F131" i="14"/>
  <c r="S130" i="14"/>
  <c r="K130" i="14"/>
  <c r="L130" i="14" s="1"/>
  <c r="P130" i="14" s="1"/>
  <c r="F130" i="14"/>
  <c r="S125" i="14"/>
  <c r="K125" i="14"/>
  <c r="L125" i="14" s="1"/>
  <c r="P125" i="14" s="1"/>
  <c r="F125" i="14"/>
  <c r="S123" i="14"/>
  <c r="K123" i="14"/>
  <c r="L123" i="14" s="1"/>
  <c r="F123" i="14"/>
  <c r="S122" i="14"/>
  <c r="K122" i="14"/>
  <c r="L122" i="14" s="1"/>
  <c r="F122" i="14"/>
  <c r="S121" i="14"/>
  <c r="K121" i="14"/>
  <c r="L121" i="14" s="1"/>
  <c r="P121" i="14" s="1"/>
  <c r="F121" i="14"/>
  <c r="S120" i="14"/>
  <c r="K120" i="14"/>
  <c r="L120" i="14" s="1"/>
  <c r="P120" i="14" s="1"/>
  <c r="F120" i="14"/>
  <c r="S119" i="14"/>
  <c r="K119" i="14"/>
  <c r="L119" i="14" s="1"/>
  <c r="F119" i="14"/>
  <c r="S118" i="14"/>
  <c r="K118" i="14"/>
  <c r="L118" i="14" s="1"/>
  <c r="F118" i="14"/>
  <c r="S117" i="14"/>
  <c r="K117" i="14"/>
  <c r="L117" i="14" s="1"/>
  <c r="P117" i="14" s="1"/>
  <c r="F117" i="14"/>
  <c r="S116" i="14"/>
  <c r="K116" i="14"/>
  <c r="L116" i="14" s="1"/>
  <c r="P116" i="14" s="1"/>
  <c r="D116" i="14"/>
  <c r="S115" i="14"/>
  <c r="K115" i="14"/>
  <c r="L115" i="14" s="1"/>
  <c r="F115" i="14"/>
  <c r="S114" i="14"/>
  <c r="K114" i="14"/>
  <c r="L114" i="14" s="1"/>
  <c r="F114" i="14"/>
  <c r="S113" i="14"/>
  <c r="K113" i="14"/>
  <c r="L113" i="14" s="1"/>
  <c r="P113" i="14" s="1"/>
  <c r="F113" i="14"/>
  <c r="S112" i="14"/>
  <c r="K112" i="14"/>
  <c r="L112" i="14" s="1"/>
  <c r="P112" i="14" s="1"/>
  <c r="F112" i="14"/>
  <c r="S111" i="14"/>
  <c r="K111" i="14"/>
  <c r="L111" i="14" s="1"/>
  <c r="F111" i="14"/>
  <c r="S110" i="14"/>
  <c r="K110" i="14"/>
  <c r="L110" i="14" s="1"/>
  <c r="F110" i="14"/>
  <c r="S109" i="14"/>
  <c r="K109" i="14"/>
  <c r="L109" i="14" s="1"/>
  <c r="P109" i="14" s="1"/>
  <c r="F109" i="14"/>
  <c r="S108" i="14"/>
  <c r="K108" i="14"/>
  <c r="L108" i="14" s="1"/>
  <c r="P108" i="14" s="1"/>
  <c r="D108" i="14"/>
  <c r="S107" i="14"/>
  <c r="K107" i="14"/>
  <c r="L107" i="14" s="1"/>
  <c r="P107" i="14" s="1"/>
  <c r="F107" i="14"/>
  <c r="S106" i="14"/>
  <c r="K106" i="14"/>
  <c r="L106" i="14" s="1"/>
  <c r="F106" i="14"/>
  <c r="P47" i="15" l="1"/>
  <c r="M63" i="14"/>
  <c r="M56" i="17"/>
  <c r="T56" i="17" s="1"/>
  <c r="U56" i="17" s="1"/>
  <c r="W56" i="17" s="1"/>
  <c r="P38" i="17"/>
  <c r="M44" i="17"/>
  <c r="O44" i="17" s="1"/>
  <c r="M45" i="17"/>
  <c r="O45" i="17" s="1"/>
  <c r="M13" i="17"/>
  <c r="O13" i="17" s="1"/>
  <c r="P40" i="17"/>
  <c r="P63" i="17"/>
  <c r="F45" i="17"/>
  <c r="F15" i="17"/>
  <c r="M59" i="17"/>
  <c r="T59" i="17" s="1"/>
  <c r="U59" i="17" s="1"/>
  <c r="W59" i="17" s="1"/>
  <c r="M36" i="17"/>
  <c r="O36" i="17" s="1"/>
  <c r="M10" i="17"/>
  <c r="O10" i="17" s="1"/>
  <c r="M14" i="17"/>
  <c r="T14" i="17" s="1"/>
  <c r="U14" i="17" s="1"/>
  <c r="W14" i="17" s="1"/>
  <c r="M41" i="17"/>
  <c r="T41" i="17" s="1"/>
  <c r="U41" i="17" s="1"/>
  <c r="W41" i="17" s="1"/>
  <c r="P55" i="17"/>
  <c r="M58" i="17"/>
  <c r="O58" i="17" s="1"/>
  <c r="M62" i="17"/>
  <c r="T62" i="17" s="1"/>
  <c r="U62" i="17" s="1"/>
  <c r="W62" i="17" s="1"/>
  <c r="P19" i="17"/>
  <c r="M46" i="17"/>
  <c r="O46" i="17" s="1"/>
  <c r="M47" i="17"/>
  <c r="T47" i="17" s="1"/>
  <c r="U47" i="17" s="1"/>
  <c r="W47" i="17" s="1"/>
  <c r="P49" i="17"/>
  <c r="M52" i="17"/>
  <c r="O52" i="17" s="1"/>
  <c r="M53" i="17"/>
  <c r="T53" i="17" s="1"/>
  <c r="U53" i="17" s="1"/>
  <c r="W53" i="17" s="1"/>
  <c r="P65" i="17"/>
  <c r="P34" i="17"/>
  <c r="P42" i="17"/>
  <c r="P50" i="17"/>
  <c r="M57" i="17"/>
  <c r="O57" i="17" s="1"/>
  <c r="M60" i="17"/>
  <c r="O60" i="17" s="1"/>
  <c r="M67" i="17"/>
  <c r="T67" i="17" s="1"/>
  <c r="U67" i="17" s="1"/>
  <c r="W67" i="17" s="1"/>
  <c r="M15" i="17"/>
  <c r="O15" i="17" s="1"/>
  <c r="P43" i="17"/>
  <c r="M48" i="17"/>
  <c r="O48" i="17" s="1"/>
  <c r="M51" i="17"/>
  <c r="T51" i="17" s="1"/>
  <c r="U51" i="17" s="1"/>
  <c r="W51" i="17" s="1"/>
  <c r="M54" i="17"/>
  <c r="O54" i="17" s="1"/>
  <c r="F51" i="17"/>
  <c r="F67" i="17"/>
  <c r="P11" i="17"/>
  <c r="M39" i="17"/>
  <c r="O39" i="17" s="1"/>
  <c r="P9" i="17"/>
  <c r="P12" i="17"/>
  <c r="P31" i="17"/>
  <c r="M32" i="17"/>
  <c r="T32" i="17" s="1"/>
  <c r="U32" i="17" s="1"/>
  <c r="W32" i="17" s="1"/>
  <c r="M35" i="17"/>
  <c r="O35" i="17" s="1"/>
  <c r="F35" i="17"/>
  <c r="M15" i="15"/>
  <c r="O15" i="15" s="1"/>
  <c r="M51" i="15"/>
  <c r="O51" i="15" s="1"/>
  <c r="M42" i="15"/>
  <c r="O42" i="15" s="1"/>
  <c r="M37" i="15"/>
  <c r="T37" i="15" s="1"/>
  <c r="U37" i="15" s="1"/>
  <c r="W37" i="15" s="1"/>
  <c r="M8" i="15"/>
  <c r="O8" i="15" s="1"/>
  <c r="M34" i="15"/>
  <c r="O34" i="15" s="1"/>
  <c r="M40" i="15"/>
  <c r="O40" i="15" s="1"/>
  <c r="P10" i="15"/>
  <c r="M30" i="15"/>
  <c r="O30" i="15" s="1"/>
  <c r="M31" i="15"/>
  <c r="T31" i="15" s="1"/>
  <c r="U31" i="15" s="1"/>
  <c r="V31" i="15" s="1"/>
  <c r="P38" i="15"/>
  <c r="M20" i="15"/>
  <c r="O20" i="15" s="1"/>
  <c r="P21" i="15"/>
  <c r="P32" i="15"/>
  <c r="M35" i="15"/>
  <c r="T35" i="15" s="1"/>
  <c r="U35" i="15" s="1"/>
  <c r="V35" i="15" s="1"/>
  <c r="P33" i="15"/>
  <c r="P39" i="15"/>
  <c r="P22" i="15"/>
  <c r="M29" i="15"/>
  <c r="T29" i="15" s="1"/>
  <c r="U29" i="15" s="1"/>
  <c r="V29" i="15" s="1"/>
  <c r="F41" i="15"/>
  <c r="P49" i="15"/>
  <c r="F29" i="15"/>
  <c r="P41" i="15"/>
  <c r="P50" i="15"/>
  <c r="T51" i="15"/>
  <c r="U51" i="15" s="1"/>
  <c r="V51" i="15" s="1"/>
  <c r="F8" i="15"/>
  <c r="P25" i="15"/>
  <c r="M47" i="15"/>
  <c r="O47" i="15" s="1"/>
  <c r="M13" i="15"/>
  <c r="T13" i="15" s="1"/>
  <c r="U13" i="15" s="1"/>
  <c r="V13" i="15" s="1"/>
  <c r="M17" i="15"/>
  <c r="O17" i="15" s="1"/>
  <c r="M26" i="15"/>
  <c r="T26" i="15" s="1"/>
  <c r="U26" i="15" s="1"/>
  <c r="V26" i="15" s="1"/>
  <c r="M28" i="15"/>
  <c r="O28" i="15" s="1"/>
  <c r="M36" i="15"/>
  <c r="T36" i="15" s="1"/>
  <c r="U36" i="15" s="1"/>
  <c r="V36" i="15" s="1"/>
  <c r="F26" i="15"/>
  <c r="F36" i="15"/>
  <c r="O63" i="14"/>
  <c r="M161" i="14"/>
  <c r="T161" i="14" s="1"/>
  <c r="U161" i="14" s="1"/>
  <c r="V161" i="14" s="1"/>
  <c r="M163" i="14"/>
  <c r="O163" i="14" s="1"/>
  <c r="P170" i="14"/>
  <c r="M172" i="14"/>
  <c r="T172" i="14" s="1"/>
  <c r="U172" i="14" s="1"/>
  <c r="V172" i="14" s="1"/>
  <c r="M158" i="14"/>
  <c r="T158" i="14" s="1"/>
  <c r="U158" i="14" s="1"/>
  <c r="V158" i="14" s="1"/>
  <c r="M159" i="14"/>
  <c r="O159" i="14" s="1"/>
  <c r="P165" i="14"/>
  <c r="P164" i="14"/>
  <c r="P160" i="14"/>
  <c r="M171" i="14"/>
  <c r="T171" i="14" s="1"/>
  <c r="U171" i="14" s="1"/>
  <c r="V171" i="14" s="1"/>
  <c r="P166" i="14"/>
  <c r="F172" i="14"/>
  <c r="M130" i="14"/>
  <c r="O130" i="14" s="1"/>
  <c r="P135" i="14"/>
  <c r="M138" i="14"/>
  <c r="O138" i="14" s="1"/>
  <c r="P142" i="14"/>
  <c r="P143" i="14"/>
  <c r="M144" i="14"/>
  <c r="T144" i="14" s="1"/>
  <c r="U144" i="14" s="1"/>
  <c r="V144" i="14" s="1"/>
  <c r="M145" i="14"/>
  <c r="T145" i="14" s="1"/>
  <c r="U145" i="14" s="1"/>
  <c r="V145" i="14" s="1"/>
  <c r="M131" i="14"/>
  <c r="O131" i="14" s="1"/>
  <c r="M133" i="14"/>
  <c r="T133" i="14" s="1"/>
  <c r="U133" i="14" s="1"/>
  <c r="V133" i="14" s="1"/>
  <c r="M139" i="14"/>
  <c r="O139" i="14" s="1"/>
  <c r="P137" i="14"/>
  <c r="P134" i="14"/>
  <c r="P141" i="14"/>
  <c r="F133" i="14"/>
  <c r="F145" i="14"/>
  <c r="M108" i="14"/>
  <c r="T108" i="14" s="1"/>
  <c r="U108" i="14" s="1"/>
  <c r="V108" i="14" s="1"/>
  <c r="M117" i="14"/>
  <c r="O117" i="14" s="1"/>
  <c r="M112" i="14"/>
  <c r="O112" i="14" s="1"/>
  <c r="F108" i="14"/>
  <c r="M113" i="14"/>
  <c r="T113" i="14" s="1"/>
  <c r="U113" i="14" s="1"/>
  <c r="V113" i="14" s="1"/>
  <c r="M116" i="14"/>
  <c r="O116" i="14" s="1"/>
  <c r="P122" i="14"/>
  <c r="M107" i="14"/>
  <c r="O107" i="14" s="1"/>
  <c r="P110" i="14"/>
  <c r="M110" i="14" s="1"/>
  <c r="P119" i="14"/>
  <c r="M120" i="14"/>
  <c r="T120" i="14" s="1"/>
  <c r="U120" i="14" s="1"/>
  <c r="V120" i="14" s="1"/>
  <c r="M121" i="14"/>
  <c r="O121" i="14" s="1"/>
  <c r="P111" i="14"/>
  <c r="P114" i="14"/>
  <c r="P118" i="14"/>
  <c r="P106" i="14"/>
  <c r="M109" i="14"/>
  <c r="O109" i="14" s="1"/>
  <c r="P115" i="14"/>
  <c r="M115" i="14" s="1"/>
  <c r="P123" i="14"/>
  <c r="M125" i="14"/>
  <c r="T125" i="14" s="1"/>
  <c r="U125" i="14" s="1"/>
  <c r="V125" i="14" s="1"/>
  <c r="F116" i="14"/>
  <c r="O56" i="17" l="1"/>
  <c r="T45" i="17"/>
  <c r="U45" i="17" s="1"/>
  <c r="W45" i="17" s="1"/>
  <c r="M38" i="17"/>
  <c r="O38" i="17" s="1"/>
  <c r="M63" i="17"/>
  <c r="O63" i="17" s="1"/>
  <c r="M40" i="17"/>
  <c r="O40" i="17" s="1"/>
  <c r="T13" i="17"/>
  <c r="U13" i="17" s="1"/>
  <c r="W13" i="17" s="1"/>
  <c r="T44" i="17"/>
  <c r="U44" i="17" s="1"/>
  <c r="W44" i="17" s="1"/>
  <c r="O59" i="17"/>
  <c r="T57" i="17"/>
  <c r="U57" i="17" s="1"/>
  <c r="W57" i="17" s="1"/>
  <c r="O41" i="17"/>
  <c r="O53" i="17"/>
  <c r="O62" i="17"/>
  <c r="T46" i="17"/>
  <c r="U46" i="17" s="1"/>
  <c r="W46" i="17" s="1"/>
  <c r="T36" i="17"/>
  <c r="U36" i="17" s="1"/>
  <c r="W36" i="17" s="1"/>
  <c r="T54" i="17"/>
  <c r="U54" i="17" s="1"/>
  <c r="W54" i="17" s="1"/>
  <c r="T48" i="17"/>
  <c r="U48" i="17" s="1"/>
  <c r="W48" i="17" s="1"/>
  <c r="T15" i="17"/>
  <c r="U15" i="17" s="1"/>
  <c r="W15" i="17" s="1"/>
  <c r="O47" i="17"/>
  <c r="M19" i="17"/>
  <c r="O19" i="17" s="1"/>
  <c r="T10" i="17"/>
  <c r="U10" i="17" s="1"/>
  <c r="W10" i="17" s="1"/>
  <c r="O14" i="17"/>
  <c r="T60" i="17"/>
  <c r="U60" i="17" s="1"/>
  <c r="W60" i="17" s="1"/>
  <c r="M42" i="17"/>
  <c r="O42" i="17" s="1"/>
  <c r="M65" i="17"/>
  <c r="O65" i="17" s="1"/>
  <c r="O51" i="17"/>
  <c r="O67" i="17"/>
  <c r="T58" i="17"/>
  <c r="U58" i="17" s="1"/>
  <c r="W58" i="17" s="1"/>
  <c r="M43" i="17"/>
  <c r="O43" i="17" s="1"/>
  <c r="M49" i="17"/>
  <c r="O49" i="17" s="1"/>
  <c r="T52" i="17"/>
  <c r="U52" i="17" s="1"/>
  <c r="W52" i="17" s="1"/>
  <c r="M50" i="17"/>
  <c r="O50" i="17" s="1"/>
  <c r="M34" i="17"/>
  <c r="O34" i="17" s="1"/>
  <c r="M55" i="17"/>
  <c r="O55" i="17" s="1"/>
  <c r="M11" i="17"/>
  <c r="O11" i="17" s="1"/>
  <c r="T39" i="17"/>
  <c r="U39" i="17" s="1"/>
  <c r="W39" i="17" s="1"/>
  <c r="T35" i="17"/>
  <c r="U35" i="17" s="1"/>
  <c r="W35" i="17" s="1"/>
  <c r="M9" i="17"/>
  <c r="O9" i="17" s="1"/>
  <c r="O32" i="17"/>
  <c r="M31" i="17"/>
  <c r="O31" i="17" s="1"/>
  <c r="M12" i="17"/>
  <c r="O12" i="17" s="1"/>
  <c r="O13" i="15"/>
  <c r="O31" i="15"/>
  <c r="T15" i="15"/>
  <c r="U15" i="15" s="1"/>
  <c r="V15" i="15" s="1"/>
  <c r="O37" i="15"/>
  <c r="T42" i="15"/>
  <c r="U42" i="15" s="1"/>
  <c r="V42" i="15" s="1"/>
  <c r="T8" i="15"/>
  <c r="U8" i="15" s="1"/>
  <c r="V8" i="15" s="1"/>
  <c r="O35" i="15"/>
  <c r="O36" i="15"/>
  <c r="T40" i="15"/>
  <c r="U40" i="15" s="1"/>
  <c r="V40" i="15" s="1"/>
  <c r="T30" i="15"/>
  <c r="U30" i="15" s="1"/>
  <c r="V30" i="15" s="1"/>
  <c r="T34" i="15"/>
  <c r="U34" i="15" s="1"/>
  <c r="V34" i="15" s="1"/>
  <c r="O29" i="15"/>
  <c r="M10" i="15"/>
  <c r="O10" i="15" s="1"/>
  <c r="M49" i="15"/>
  <c r="O49" i="15" s="1"/>
  <c r="M25" i="15"/>
  <c r="O25" i="15" s="1"/>
  <c r="M50" i="15"/>
  <c r="O50" i="15" s="1"/>
  <c r="T47" i="15"/>
  <c r="U47" i="15" s="1"/>
  <c r="V47" i="15" s="1"/>
  <c r="M33" i="15"/>
  <c r="O33" i="15" s="1"/>
  <c r="M32" i="15"/>
  <c r="O32" i="15" s="1"/>
  <c r="M38" i="15"/>
  <c r="O38" i="15" s="1"/>
  <c r="M22" i="15"/>
  <c r="O22" i="15" s="1"/>
  <c r="T20" i="15"/>
  <c r="U20" i="15" s="1"/>
  <c r="V20" i="15" s="1"/>
  <c r="M41" i="15"/>
  <c r="O41" i="15" s="1"/>
  <c r="M39" i="15"/>
  <c r="O39" i="15" s="1"/>
  <c r="M21" i="15"/>
  <c r="O21" i="15" s="1"/>
  <c r="O26" i="15"/>
  <c r="T28" i="15"/>
  <c r="U28" i="15" s="1"/>
  <c r="V28" i="15" s="1"/>
  <c r="T17" i="15"/>
  <c r="U17" i="15" s="1"/>
  <c r="V17" i="15" s="1"/>
  <c r="T63" i="14"/>
  <c r="U63" i="14" s="1"/>
  <c r="V63" i="14" s="1"/>
  <c r="T130" i="14"/>
  <c r="U130" i="14" s="1"/>
  <c r="V130" i="14" s="1"/>
  <c r="O158" i="14"/>
  <c r="O120" i="14"/>
  <c r="O145" i="14"/>
  <c r="M170" i="14"/>
  <c r="O170" i="14" s="1"/>
  <c r="O171" i="14"/>
  <c r="M164" i="14"/>
  <c r="O164" i="14" s="1"/>
  <c r="O161" i="14"/>
  <c r="M160" i="14"/>
  <c r="O160" i="14" s="1"/>
  <c r="O172" i="14"/>
  <c r="T159" i="14"/>
  <c r="U159" i="14" s="1"/>
  <c r="V159" i="14" s="1"/>
  <c r="T163" i="14"/>
  <c r="U163" i="14" s="1"/>
  <c r="V163" i="14" s="1"/>
  <c r="M165" i="14"/>
  <c r="O165" i="14" s="1"/>
  <c r="M166" i="14"/>
  <c r="O166" i="14" s="1"/>
  <c r="T112" i="14"/>
  <c r="U112" i="14" s="1"/>
  <c r="V112" i="14" s="1"/>
  <c r="O133" i="14"/>
  <c r="T138" i="14"/>
  <c r="U138" i="14" s="1"/>
  <c r="V138" i="14" s="1"/>
  <c r="O144" i="14"/>
  <c r="M141" i="14"/>
  <c r="O141" i="14" s="1"/>
  <c r="M137" i="14"/>
  <c r="O137" i="14" s="1"/>
  <c r="M142" i="14"/>
  <c r="O142" i="14" s="1"/>
  <c r="T139" i="14"/>
  <c r="U139" i="14" s="1"/>
  <c r="V139" i="14" s="1"/>
  <c r="T131" i="14"/>
  <c r="U131" i="14" s="1"/>
  <c r="V131" i="14" s="1"/>
  <c r="M135" i="14"/>
  <c r="O135" i="14" s="1"/>
  <c r="M134" i="14"/>
  <c r="O134" i="14" s="1"/>
  <c r="M143" i="14"/>
  <c r="O143" i="14" s="1"/>
  <c r="O108" i="14"/>
  <c r="T117" i="14"/>
  <c r="U117" i="14" s="1"/>
  <c r="V117" i="14" s="1"/>
  <c r="O125" i="14"/>
  <c r="O115" i="14"/>
  <c r="M106" i="14"/>
  <c r="O106" i="14" s="1"/>
  <c r="M114" i="14"/>
  <c r="O114" i="14" s="1"/>
  <c r="M119" i="14"/>
  <c r="O119" i="14" s="1"/>
  <c r="O110" i="14"/>
  <c r="M123" i="14"/>
  <c r="O123" i="14" s="1"/>
  <c r="T121" i="14"/>
  <c r="U121" i="14" s="1"/>
  <c r="V121" i="14" s="1"/>
  <c r="T116" i="14"/>
  <c r="U116" i="14" s="1"/>
  <c r="V116" i="14" s="1"/>
  <c r="T109" i="14"/>
  <c r="U109" i="14" s="1"/>
  <c r="V109" i="14" s="1"/>
  <c r="M118" i="14"/>
  <c r="O118" i="14" s="1"/>
  <c r="M111" i="14"/>
  <c r="O111" i="14" s="1"/>
  <c r="O113" i="14"/>
  <c r="M122" i="14"/>
  <c r="O122" i="14" s="1"/>
  <c r="T107" i="14"/>
  <c r="U107" i="14" s="1"/>
  <c r="V107" i="14" s="1"/>
  <c r="T38" i="17" l="1"/>
  <c r="U38" i="17" s="1"/>
  <c r="W38" i="17" s="1"/>
  <c r="T50" i="17"/>
  <c r="U50" i="17" s="1"/>
  <c r="W50" i="17" s="1"/>
  <c r="T40" i="17"/>
  <c r="U40" i="17" s="1"/>
  <c r="W40" i="17" s="1"/>
  <c r="T63" i="17"/>
  <c r="U63" i="17" s="1"/>
  <c r="W63" i="17" s="1"/>
  <c r="T55" i="17"/>
  <c r="U55" i="17" s="1"/>
  <c r="W55" i="17" s="1"/>
  <c r="T19" i="17"/>
  <c r="U19" i="17" s="1"/>
  <c r="W19" i="17" s="1"/>
  <c r="T43" i="17"/>
  <c r="U43" i="17" s="1"/>
  <c r="W43" i="17" s="1"/>
  <c r="T34" i="17"/>
  <c r="U34" i="17" s="1"/>
  <c r="W34" i="17" s="1"/>
  <c r="T65" i="17"/>
  <c r="U65" i="17" s="1"/>
  <c r="W65" i="17" s="1"/>
  <c r="T49" i="17"/>
  <c r="U49" i="17" s="1"/>
  <c r="W49" i="17" s="1"/>
  <c r="T42" i="17"/>
  <c r="U42" i="17" s="1"/>
  <c r="W42" i="17" s="1"/>
  <c r="T11" i="17"/>
  <c r="U11" i="17" s="1"/>
  <c r="W11" i="17" s="1"/>
  <c r="T9" i="17"/>
  <c r="U9" i="17" s="1"/>
  <c r="W9" i="17" s="1"/>
  <c r="T31" i="17"/>
  <c r="U31" i="17" s="1"/>
  <c r="W31" i="17" s="1"/>
  <c r="T12" i="17"/>
  <c r="U12" i="17" s="1"/>
  <c r="W12" i="17" s="1"/>
  <c r="T32" i="15"/>
  <c r="U32" i="15" s="1"/>
  <c r="V32" i="15" s="1"/>
  <c r="T25" i="15"/>
  <c r="U25" i="15" s="1"/>
  <c r="V25" i="15" s="1"/>
  <c r="T10" i="15"/>
  <c r="U10" i="15" s="1"/>
  <c r="V10" i="15" s="1"/>
  <c r="T21" i="15"/>
  <c r="U21" i="15" s="1"/>
  <c r="V21" i="15" s="1"/>
  <c r="T41" i="15"/>
  <c r="U41" i="15" s="1"/>
  <c r="V41" i="15" s="1"/>
  <c r="T50" i="15"/>
  <c r="U50" i="15" s="1"/>
  <c r="V50" i="15" s="1"/>
  <c r="T49" i="15"/>
  <c r="U49" i="15" s="1"/>
  <c r="V49" i="15" s="1"/>
  <c r="T38" i="15"/>
  <c r="U38" i="15" s="1"/>
  <c r="V38" i="15" s="1"/>
  <c r="T33" i="15"/>
  <c r="U33" i="15" s="1"/>
  <c r="V33" i="15" s="1"/>
  <c r="T39" i="15"/>
  <c r="U39" i="15" s="1"/>
  <c r="V39" i="15" s="1"/>
  <c r="T22" i="15"/>
  <c r="U22" i="15" s="1"/>
  <c r="V22" i="15" s="1"/>
  <c r="T164" i="14"/>
  <c r="U164" i="14" s="1"/>
  <c r="T165" i="14"/>
  <c r="U165" i="14" s="1"/>
  <c r="V165" i="14" s="1"/>
  <c r="T160" i="14"/>
  <c r="U160" i="14" s="1"/>
  <c r="V160" i="14" s="1"/>
  <c r="T166" i="14"/>
  <c r="U166" i="14" s="1"/>
  <c r="V166" i="14" s="1"/>
  <c r="T170" i="14"/>
  <c r="U170" i="14" s="1"/>
  <c r="V170" i="14" s="1"/>
  <c r="T141" i="14"/>
  <c r="U141" i="14" s="1"/>
  <c r="V141" i="14" s="1"/>
  <c r="T135" i="14"/>
  <c r="U135" i="14" s="1"/>
  <c r="V135" i="14" s="1"/>
  <c r="T142" i="14"/>
  <c r="U142" i="14" s="1"/>
  <c r="V142" i="14" s="1"/>
  <c r="T143" i="14"/>
  <c r="U143" i="14" s="1"/>
  <c r="V143" i="14" s="1"/>
  <c r="T134" i="14"/>
  <c r="U134" i="14" s="1"/>
  <c r="V134" i="14" s="1"/>
  <c r="T137" i="14"/>
  <c r="U137" i="14" s="1"/>
  <c r="V137" i="14" s="1"/>
  <c r="T114" i="14"/>
  <c r="U114" i="14" s="1"/>
  <c r="V114" i="14" s="1"/>
  <c r="T122" i="14"/>
  <c r="U122" i="14" s="1"/>
  <c r="V122" i="14" s="1"/>
  <c r="T110" i="14"/>
  <c r="U110" i="14" s="1"/>
  <c r="V110" i="14" s="1"/>
  <c r="T115" i="14"/>
  <c r="U115" i="14" s="1"/>
  <c r="V115" i="14" s="1"/>
  <c r="T118" i="14"/>
  <c r="U118" i="14" s="1"/>
  <c r="V118" i="14" s="1"/>
  <c r="T123" i="14"/>
  <c r="U123" i="14" s="1"/>
  <c r="V123" i="14" s="1"/>
  <c r="T119" i="14"/>
  <c r="U119" i="14" s="1"/>
  <c r="V119" i="14" s="1"/>
  <c r="T106" i="14"/>
  <c r="U106" i="14" s="1"/>
  <c r="V106" i="14" s="1"/>
  <c r="T111" i="14"/>
  <c r="U111" i="14" s="1"/>
  <c r="V111" i="14" s="1"/>
  <c r="Y164" i="14" l="1"/>
  <c r="V164" i="14" s="1"/>
  <c r="U97" i="14"/>
  <c r="V97" i="14" s="1"/>
  <c r="S97" i="14"/>
  <c r="M97" i="14" s="1"/>
  <c r="O97" i="14" s="1"/>
  <c r="F97" i="14"/>
  <c r="U95" i="14"/>
  <c r="V95" i="14" s="1"/>
  <c r="S95" i="14"/>
  <c r="M95" i="14" s="1"/>
  <c r="O95" i="14" s="1"/>
  <c r="F95" i="14"/>
  <c r="S94" i="14"/>
  <c r="K94" i="14"/>
  <c r="L94" i="14" s="1"/>
  <c r="P94" i="14" s="1"/>
  <c r="D94" i="14"/>
  <c r="S93" i="14"/>
  <c r="K93" i="14"/>
  <c r="L93" i="14" s="1"/>
  <c r="F93" i="14"/>
  <c r="S92" i="14"/>
  <c r="K92" i="14"/>
  <c r="L92" i="14" s="1"/>
  <c r="P92" i="14" s="1"/>
  <c r="D92" i="14"/>
  <c r="S91" i="14"/>
  <c r="K91" i="14"/>
  <c r="L91" i="14" s="1"/>
  <c r="P91" i="14" s="1"/>
  <c r="F91" i="14"/>
  <c r="S90" i="14"/>
  <c r="K90" i="14"/>
  <c r="L90" i="14" s="1"/>
  <c r="F90" i="14"/>
  <c r="S85" i="14"/>
  <c r="K85" i="14"/>
  <c r="L85" i="14" s="1"/>
  <c r="F85" i="14"/>
  <c r="S82" i="14"/>
  <c r="K82" i="14"/>
  <c r="L82" i="14" s="1"/>
  <c r="F82" i="14"/>
  <c r="S81" i="14"/>
  <c r="K81" i="14"/>
  <c r="L81" i="14" s="1"/>
  <c r="P81" i="14" s="1"/>
  <c r="F81" i="14"/>
  <c r="S77" i="14"/>
  <c r="K77" i="14"/>
  <c r="L77" i="14" s="1"/>
  <c r="F77" i="14"/>
  <c r="S76" i="14"/>
  <c r="K76" i="14"/>
  <c r="L76" i="14" s="1"/>
  <c r="P76" i="14" s="1"/>
  <c r="F76" i="14"/>
  <c r="S75" i="14"/>
  <c r="K75" i="14"/>
  <c r="L75" i="14" s="1"/>
  <c r="P75" i="14" s="1"/>
  <c r="F75" i="14"/>
  <c r="S74" i="14"/>
  <c r="K74" i="14"/>
  <c r="L74" i="14" s="1"/>
  <c r="P74" i="14" s="1"/>
  <c r="F74" i="14"/>
  <c r="S73" i="14"/>
  <c r="K73" i="14"/>
  <c r="L73" i="14" s="1"/>
  <c r="F73" i="14"/>
  <c r="S72" i="14"/>
  <c r="K72" i="14"/>
  <c r="L72" i="14" s="1"/>
  <c r="F72" i="14"/>
  <c r="S71" i="14"/>
  <c r="K71" i="14"/>
  <c r="L71" i="14" s="1"/>
  <c r="P71" i="14" s="1"/>
  <c r="F71" i="14"/>
  <c r="S70" i="14"/>
  <c r="K70" i="14"/>
  <c r="L70" i="14" s="1"/>
  <c r="P70" i="14" s="1"/>
  <c r="F70" i="14"/>
  <c r="S69" i="14"/>
  <c r="K69" i="14"/>
  <c r="L69" i="14" s="1"/>
  <c r="F69" i="14"/>
  <c r="S68" i="14"/>
  <c r="K68" i="14"/>
  <c r="L68" i="14" s="1"/>
  <c r="F68" i="14"/>
  <c r="S67" i="14"/>
  <c r="K67" i="14"/>
  <c r="L67" i="14" s="1"/>
  <c r="F67" i="14"/>
  <c r="S66" i="14"/>
  <c r="K66" i="14"/>
  <c r="L66" i="14" s="1"/>
  <c r="P66" i="14" s="1"/>
  <c r="F66" i="14"/>
  <c r="S65" i="14"/>
  <c r="K65" i="14"/>
  <c r="L65" i="14" s="1"/>
  <c r="F65" i="14"/>
  <c r="S64" i="14"/>
  <c r="K64" i="14"/>
  <c r="L64" i="14" s="1"/>
  <c r="F64" i="14"/>
  <c r="S62" i="14"/>
  <c r="K62" i="14"/>
  <c r="L62" i="14" s="1"/>
  <c r="P62" i="14" s="1"/>
  <c r="F62" i="14"/>
  <c r="S58" i="14"/>
  <c r="K58" i="14"/>
  <c r="L58" i="14" s="1"/>
  <c r="P58" i="14" s="1"/>
  <c r="F58" i="14"/>
  <c r="S55" i="14"/>
  <c r="K55" i="14"/>
  <c r="L55" i="14" s="1"/>
  <c r="F55" i="14"/>
  <c r="S54" i="14"/>
  <c r="K54" i="14"/>
  <c r="L54" i="14" s="1"/>
  <c r="F54" i="14"/>
  <c r="S53" i="14"/>
  <c r="K53" i="14"/>
  <c r="L53" i="14" s="1"/>
  <c r="P53" i="14" s="1"/>
  <c r="F53" i="14"/>
  <c r="S52" i="14"/>
  <c r="K52" i="14"/>
  <c r="L52" i="14" s="1"/>
  <c r="P52" i="14" s="1"/>
  <c r="F52" i="14"/>
  <c r="S50" i="14"/>
  <c r="K50" i="14"/>
  <c r="L50" i="14" s="1"/>
  <c r="F50" i="14"/>
  <c r="S49" i="14"/>
  <c r="K49" i="14"/>
  <c r="L49" i="14" s="1"/>
  <c r="F49" i="14"/>
  <c r="S48" i="14"/>
  <c r="K48" i="14"/>
  <c r="L48" i="14" s="1"/>
  <c r="P48" i="14" s="1"/>
  <c r="F48" i="14"/>
  <c r="S47" i="14"/>
  <c r="K47" i="14"/>
  <c r="L47" i="14" s="1"/>
  <c r="F47" i="14"/>
  <c r="S46" i="14"/>
  <c r="K46" i="14"/>
  <c r="L46" i="14" s="1"/>
  <c r="F46" i="14"/>
  <c r="S45" i="14"/>
  <c r="K45" i="14"/>
  <c r="L45" i="14" s="1"/>
  <c r="P45" i="14" s="1"/>
  <c r="F45" i="14"/>
  <c r="S44" i="14"/>
  <c r="K44" i="14"/>
  <c r="L44" i="14" s="1"/>
  <c r="P44" i="14" s="1"/>
  <c r="F44" i="14"/>
  <c r="S43" i="14"/>
  <c r="K43" i="14"/>
  <c r="L43" i="14" s="1"/>
  <c r="F43" i="14"/>
  <c r="S41" i="14"/>
  <c r="K41" i="14"/>
  <c r="L41" i="14" s="1"/>
  <c r="F41" i="14"/>
  <c r="S40" i="14"/>
  <c r="K40" i="14"/>
  <c r="L40" i="14" s="1"/>
  <c r="P40" i="14" s="1"/>
  <c r="F40" i="14"/>
  <c r="S39" i="14"/>
  <c r="K39" i="14"/>
  <c r="L39" i="14" s="1"/>
  <c r="P39" i="14" s="1"/>
  <c r="F39" i="14"/>
  <c r="S38" i="14"/>
  <c r="K38" i="14"/>
  <c r="L38" i="14" s="1"/>
  <c r="F38" i="14"/>
  <c r="S37" i="14"/>
  <c r="K37" i="14"/>
  <c r="L37" i="14" s="1"/>
  <c r="F37" i="14"/>
  <c r="S36" i="14"/>
  <c r="K36" i="14"/>
  <c r="L36" i="14" s="1"/>
  <c r="P36" i="14" s="1"/>
  <c r="F36" i="14"/>
  <c r="S35" i="14"/>
  <c r="K35" i="14"/>
  <c r="L35" i="14" s="1"/>
  <c r="P35" i="14" s="1"/>
  <c r="F35" i="14"/>
  <c r="S34" i="14"/>
  <c r="K34" i="14"/>
  <c r="L34" i="14" s="1"/>
  <c r="F34" i="14"/>
  <c r="S33" i="14"/>
  <c r="K33" i="14"/>
  <c r="L33" i="14" s="1"/>
  <c r="F33" i="14"/>
  <c r="S32" i="14"/>
  <c r="K32" i="14"/>
  <c r="L32" i="14" s="1"/>
  <c r="P32" i="14" s="1"/>
  <c r="M32" i="14" s="1"/>
  <c r="F32" i="14"/>
  <c r="S31" i="14"/>
  <c r="K31" i="14"/>
  <c r="L31" i="14" s="1"/>
  <c r="P31" i="14" s="1"/>
  <c r="F31" i="14"/>
  <c r="S30" i="14"/>
  <c r="K30" i="14"/>
  <c r="L30" i="14" s="1"/>
  <c r="F30" i="14"/>
  <c r="Y27" i="14"/>
  <c r="X27" i="14"/>
  <c r="W27" i="14"/>
  <c r="R27" i="14"/>
  <c r="Q27" i="14"/>
  <c r="N27" i="14"/>
  <c r="J27" i="14"/>
  <c r="I27" i="14"/>
  <c r="H27" i="14"/>
  <c r="G27" i="14"/>
  <c r="E27" i="14"/>
  <c r="D27" i="14"/>
  <c r="S26" i="14"/>
  <c r="S27" i="14" s="1"/>
  <c r="K26" i="14"/>
  <c r="L26" i="14" s="1"/>
  <c r="F26" i="14"/>
  <c r="F27" i="14" s="1"/>
  <c r="D19" i="14"/>
  <c r="D23" i="14" s="1"/>
  <c r="E23" i="14"/>
  <c r="G23" i="14"/>
  <c r="H23" i="14"/>
  <c r="I23" i="14"/>
  <c r="J23" i="14"/>
  <c r="Q23" i="14"/>
  <c r="R23" i="14"/>
  <c r="X23" i="14"/>
  <c r="Y23" i="14"/>
  <c r="S19" i="14"/>
  <c r="K19" i="14"/>
  <c r="L19" i="14" s="1"/>
  <c r="P90" i="14" l="1"/>
  <c r="M91" i="14"/>
  <c r="T91" i="14" s="1"/>
  <c r="U91" i="14" s="1"/>
  <c r="V91" i="14" s="1"/>
  <c r="P85" i="14"/>
  <c r="P82" i="14"/>
  <c r="M94" i="14"/>
  <c r="O94" i="14" s="1"/>
  <c r="M81" i="14"/>
  <c r="O81" i="14" s="1"/>
  <c r="P93" i="14"/>
  <c r="M92" i="14"/>
  <c r="T92" i="14" s="1"/>
  <c r="U92" i="14" s="1"/>
  <c r="V92" i="14" s="1"/>
  <c r="F94" i="14"/>
  <c r="O91" i="14"/>
  <c r="F92" i="14"/>
  <c r="M66" i="14"/>
  <c r="O66" i="14" s="1"/>
  <c r="M52" i="14"/>
  <c r="O52" i="14" s="1"/>
  <c r="M39" i="14"/>
  <c r="O39" i="14" s="1"/>
  <c r="M70" i="14"/>
  <c r="O70" i="14" s="1"/>
  <c r="M74" i="14"/>
  <c r="O74" i="14" s="1"/>
  <c r="M35" i="14"/>
  <c r="O35" i="14" s="1"/>
  <c r="M58" i="14"/>
  <c r="O58" i="14" s="1"/>
  <c r="M31" i="14"/>
  <c r="O31" i="14" s="1"/>
  <c r="O32" i="14"/>
  <c r="P72" i="14"/>
  <c r="P54" i="14"/>
  <c r="M71" i="14"/>
  <c r="O71" i="14" s="1"/>
  <c r="P41" i="14"/>
  <c r="M53" i="14"/>
  <c r="T53" i="14" s="1"/>
  <c r="U53" i="14" s="1"/>
  <c r="V53" i="14" s="1"/>
  <c r="P33" i="14"/>
  <c r="P37" i="14"/>
  <c r="M45" i="14"/>
  <c r="O45" i="14" s="1"/>
  <c r="P46" i="14"/>
  <c r="P64" i="14"/>
  <c r="M36" i="14"/>
  <c r="T36" i="14" s="1"/>
  <c r="U36" i="14" s="1"/>
  <c r="V36" i="14" s="1"/>
  <c r="M76" i="14"/>
  <c r="T76" i="14" s="1"/>
  <c r="U76" i="14" s="1"/>
  <c r="V76" i="14" s="1"/>
  <c r="P38" i="14"/>
  <c r="P47" i="14"/>
  <c r="P43" i="14"/>
  <c r="M44" i="14"/>
  <c r="O44" i="14" s="1"/>
  <c r="P65" i="14"/>
  <c r="P67" i="14"/>
  <c r="M75" i="14"/>
  <c r="T75" i="14" s="1"/>
  <c r="U75" i="14" s="1"/>
  <c r="V75" i="14" s="1"/>
  <c r="P77" i="14"/>
  <c r="P34" i="14"/>
  <c r="M34" i="14" s="1"/>
  <c r="P55" i="14"/>
  <c r="P73" i="14"/>
  <c r="M40" i="14"/>
  <c r="O40" i="14" s="1"/>
  <c r="M48" i="14"/>
  <c r="O48" i="14" s="1"/>
  <c r="P49" i="14"/>
  <c r="M62" i="14"/>
  <c r="O62" i="14" s="1"/>
  <c r="P68" i="14"/>
  <c r="P30" i="14"/>
  <c r="P50" i="14"/>
  <c r="P69" i="14"/>
  <c r="L27" i="14"/>
  <c r="P26" i="14"/>
  <c r="K27" i="14"/>
  <c r="F19" i="14"/>
  <c r="P19" i="14"/>
  <c r="T39" i="14" l="1"/>
  <c r="U39" i="14" s="1"/>
  <c r="V39" i="14" s="1"/>
  <c r="T52" i="14"/>
  <c r="U52" i="14" s="1"/>
  <c r="V52" i="14" s="1"/>
  <c r="O36" i="14"/>
  <c r="T74" i="14"/>
  <c r="U74" i="14" s="1"/>
  <c r="V74" i="14" s="1"/>
  <c r="O53" i="14"/>
  <c r="T66" i="14"/>
  <c r="U66" i="14" s="1"/>
  <c r="V66" i="14" s="1"/>
  <c r="O92" i="14"/>
  <c r="M90" i="14"/>
  <c r="O90" i="14" s="1"/>
  <c r="T81" i="14"/>
  <c r="U81" i="14" s="1"/>
  <c r="V81" i="14" s="1"/>
  <c r="M85" i="14"/>
  <c r="O85" i="14" s="1"/>
  <c r="M82" i="14"/>
  <c r="O82" i="14" s="1"/>
  <c r="M93" i="14"/>
  <c r="O93" i="14" s="1"/>
  <c r="T94" i="14"/>
  <c r="U94" i="14" s="1"/>
  <c r="V94" i="14" s="1"/>
  <c r="T70" i="14"/>
  <c r="U70" i="14" s="1"/>
  <c r="V70" i="14" s="1"/>
  <c r="T58" i="14"/>
  <c r="U58" i="14" s="1"/>
  <c r="V58" i="14" s="1"/>
  <c r="O76" i="14"/>
  <c r="T35" i="14"/>
  <c r="U35" i="14" s="1"/>
  <c r="V35" i="14" s="1"/>
  <c r="O75" i="14"/>
  <c r="T44" i="14"/>
  <c r="U44" i="14" s="1"/>
  <c r="V44" i="14" s="1"/>
  <c r="T31" i="14"/>
  <c r="U31" i="14" s="1"/>
  <c r="V31" i="14" s="1"/>
  <c r="M68" i="14"/>
  <c r="O68" i="14" s="1"/>
  <c r="M55" i="14"/>
  <c r="O55" i="14" s="1"/>
  <c r="M77" i="14"/>
  <c r="O77" i="14" s="1"/>
  <c r="M64" i="14"/>
  <c r="O64" i="14" s="1"/>
  <c r="M50" i="14"/>
  <c r="O50" i="14" s="1"/>
  <c r="T48" i="14"/>
  <c r="U48" i="14" s="1"/>
  <c r="V48" i="14" s="1"/>
  <c r="M73" i="14"/>
  <c r="O73" i="14" s="1"/>
  <c r="M67" i="14"/>
  <c r="O67" i="14" s="1"/>
  <c r="M43" i="14"/>
  <c r="O43" i="14" s="1"/>
  <c r="M38" i="14"/>
  <c r="O38" i="14" s="1"/>
  <c r="T45" i="14"/>
  <c r="U45" i="14" s="1"/>
  <c r="V45" i="14" s="1"/>
  <c r="T32" i="14"/>
  <c r="U32" i="14" s="1"/>
  <c r="V32" i="14" s="1"/>
  <c r="T62" i="14"/>
  <c r="U62" i="14" s="1"/>
  <c r="V62" i="14" s="1"/>
  <c r="O34" i="14"/>
  <c r="M46" i="14"/>
  <c r="O46" i="14" s="1"/>
  <c r="M33" i="14"/>
  <c r="O33" i="14" s="1"/>
  <c r="T71" i="14"/>
  <c r="U71" i="14" s="1"/>
  <c r="V71" i="14" s="1"/>
  <c r="M72" i="14"/>
  <c r="O72" i="14" s="1"/>
  <c r="M69" i="14"/>
  <c r="O69" i="14" s="1"/>
  <c r="M30" i="14"/>
  <c r="O30" i="14" s="1"/>
  <c r="M49" i="14"/>
  <c r="O49" i="14" s="1"/>
  <c r="T40" i="14"/>
  <c r="U40" i="14" s="1"/>
  <c r="V40" i="14" s="1"/>
  <c r="M65" i="14"/>
  <c r="O65" i="14" s="1"/>
  <c r="M47" i="14"/>
  <c r="O47" i="14" s="1"/>
  <c r="M37" i="14"/>
  <c r="O37" i="14" s="1"/>
  <c r="M41" i="14"/>
  <c r="O41" i="14" s="1"/>
  <c r="M54" i="14"/>
  <c r="O54" i="14" s="1"/>
  <c r="P27" i="14"/>
  <c r="M26" i="14"/>
  <c r="M19" i="14"/>
  <c r="T85" i="14" l="1"/>
  <c r="U85" i="14" s="1"/>
  <c r="V85" i="14" s="1"/>
  <c r="T93" i="14"/>
  <c r="U93" i="14" s="1"/>
  <c r="V93" i="14" s="1"/>
  <c r="T82" i="14"/>
  <c r="U82" i="14" s="1"/>
  <c r="V82" i="14" s="1"/>
  <c r="T90" i="14"/>
  <c r="U90" i="14" s="1"/>
  <c r="V90" i="14" s="1"/>
  <c r="T47" i="14"/>
  <c r="U47" i="14" s="1"/>
  <c r="V47" i="14" s="1"/>
  <c r="T77" i="14"/>
  <c r="U77" i="14" s="1"/>
  <c r="V77" i="14" s="1"/>
  <c r="T65" i="14"/>
  <c r="U65" i="14" s="1"/>
  <c r="V65" i="14" s="1"/>
  <c r="T49" i="14"/>
  <c r="U49" i="14" s="1"/>
  <c r="V49" i="14" s="1"/>
  <c r="T68" i="14"/>
  <c r="U68" i="14" s="1"/>
  <c r="V68" i="14" s="1"/>
  <c r="T43" i="14"/>
  <c r="U43" i="14" s="1"/>
  <c r="V43" i="14" s="1"/>
  <c r="T54" i="14"/>
  <c r="U54" i="14" s="1"/>
  <c r="V54" i="14" s="1"/>
  <c r="T37" i="14"/>
  <c r="U37" i="14" s="1"/>
  <c r="V37" i="14" s="1"/>
  <c r="T33" i="14"/>
  <c r="U33" i="14" s="1"/>
  <c r="V33" i="14" s="1"/>
  <c r="T34" i="14"/>
  <c r="U34" i="14" s="1"/>
  <c r="V34" i="14" s="1"/>
  <c r="T73" i="14"/>
  <c r="U73" i="14" s="1"/>
  <c r="V73" i="14" s="1"/>
  <c r="T30" i="14"/>
  <c r="U30" i="14" s="1"/>
  <c r="V30" i="14" s="1"/>
  <c r="T72" i="14"/>
  <c r="U72" i="14" s="1"/>
  <c r="V72" i="14" s="1"/>
  <c r="T64" i="14"/>
  <c r="U64" i="14" s="1"/>
  <c r="V64" i="14" s="1"/>
  <c r="T55" i="14"/>
  <c r="U55" i="14" s="1"/>
  <c r="V55" i="14" s="1"/>
  <c r="T41" i="14"/>
  <c r="U41" i="14" s="1"/>
  <c r="V41" i="14" s="1"/>
  <c r="T69" i="14"/>
  <c r="U69" i="14" s="1"/>
  <c r="V69" i="14" s="1"/>
  <c r="T46" i="14"/>
  <c r="U46" i="14" s="1"/>
  <c r="V46" i="14" s="1"/>
  <c r="T38" i="14"/>
  <c r="U38" i="14" s="1"/>
  <c r="V38" i="14" s="1"/>
  <c r="T67" i="14"/>
  <c r="U67" i="14" s="1"/>
  <c r="V67" i="14" s="1"/>
  <c r="T50" i="14"/>
  <c r="U50" i="14" s="1"/>
  <c r="V50" i="14" s="1"/>
  <c r="M27" i="14"/>
  <c r="O26" i="14"/>
  <c r="O27" i="14" s="1"/>
  <c r="T26" i="14"/>
  <c r="O19" i="14"/>
  <c r="T19" i="14"/>
  <c r="T27" i="14" l="1"/>
  <c r="U26" i="14"/>
  <c r="U19" i="14"/>
  <c r="U27" i="14" l="1"/>
  <c r="V26" i="14"/>
  <c r="V27" i="14" s="1"/>
  <c r="V19" i="14"/>
  <c r="U39" i="18"/>
  <c r="D57" i="20" l="1"/>
  <c r="N57" i="20"/>
  <c r="N45" i="20"/>
  <c r="N17" i="20"/>
  <c r="N16" i="20"/>
  <c r="N28" i="18"/>
  <c r="U74" i="17"/>
  <c r="W74" i="17" s="1"/>
  <c r="O74" i="17"/>
  <c r="F74" i="17"/>
  <c r="U73" i="17"/>
  <c r="W73" i="17" s="1"/>
  <c r="O73" i="17"/>
  <c r="F73" i="17"/>
  <c r="N70" i="17"/>
  <c r="N26" i="17"/>
  <c r="N18" i="17"/>
  <c r="N8" i="17"/>
  <c r="E127" i="14"/>
  <c r="G127" i="14"/>
  <c r="H127" i="14"/>
  <c r="I127" i="14"/>
  <c r="J127" i="14"/>
  <c r="Q127" i="14"/>
  <c r="R127" i="14"/>
  <c r="W127" i="14"/>
  <c r="X127" i="14"/>
  <c r="Y127" i="14"/>
  <c r="D127" i="14"/>
  <c r="E103" i="14"/>
  <c r="G103" i="14"/>
  <c r="H103" i="14"/>
  <c r="I103" i="14"/>
  <c r="J103" i="14"/>
  <c r="Q103" i="14"/>
  <c r="R103" i="14"/>
  <c r="W103" i="14"/>
  <c r="X103" i="14"/>
  <c r="Y103" i="14"/>
  <c r="E78" i="14"/>
  <c r="G78" i="14"/>
  <c r="H78" i="14"/>
  <c r="I78" i="14"/>
  <c r="J78" i="14"/>
  <c r="N78" i="14"/>
  <c r="Q78" i="14"/>
  <c r="R78" i="14"/>
  <c r="W78" i="14"/>
  <c r="X78" i="14"/>
  <c r="E16" i="14"/>
  <c r="G16" i="14"/>
  <c r="H16" i="14"/>
  <c r="I16" i="14"/>
  <c r="J16" i="14"/>
  <c r="N16" i="14"/>
  <c r="R16" i="14"/>
  <c r="W16" i="14"/>
  <c r="X16" i="14"/>
  <c r="Y16" i="14"/>
  <c r="S86" i="14"/>
  <c r="K86" i="14"/>
  <c r="L86" i="14" s="1"/>
  <c r="F86" i="14"/>
  <c r="N126" i="14"/>
  <c r="U126" i="14" s="1"/>
  <c r="V126" i="14" s="1"/>
  <c r="S126" i="14"/>
  <c r="M126" i="14" s="1"/>
  <c r="F126" i="14"/>
  <c r="S60" i="14"/>
  <c r="K60" i="14"/>
  <c r="L60" i="14" s="1"/>
  <c r="F60" i="14"/>
  <c r="S42" i="14"/>
  <c r="K42" i="14"/>
  <c r="L42" i="14" s="1"/>
  <c r="F42" i="14"/>
  <c r="N22" i="14"/>
  <c r="Z23" i="14"/>
  <c r="S22" i="14"/>
  <c r="K22" i="14"/>
  <c r="L22" i="14" s="1"/>
  <c r="F22" i="14"/>
  <c r="S100" i="14"/>
  <c r="M100" i="14" s="1"/>
  <c r="U100" i="14"/>
  <c r="V100" i="14" s="1"/>
  <c r="F100" i="14"/>
  <c r="N87" i="14"/>
  <c r="N23" i="14"/>
  <c r="N103" i="14" l="1"/>
  <c r="N127" i="14"/>
  <c r="P86" i="14"/>
  <c r="O126" i="14"/>
  <c r="P60" i="14"/>
  <c r="P42" i="14"/>
  <c r="O100" i="14"/>
  <c r="P22" i="14"/>
  <c r="M86" i="14" l="1"/>
  <c r="O86" i="14" s="1"/>
  <c r="M60" i="14"/>
  <c r="O60" i="14" s="1"/>
  <c r="M42" i="14"/>
  <c r="M22" i="14"/>
  <c r="O22" i="14" s="1"/>
  <c r="O42" i="14" l="1"/>
  <c r="T86" i="14"/>
  <c r="U86" i="14" s="1"/>
  <c r="V86" i="14" s="1"/>
  <c r="T60" i="14"/>
  <c r="U60" i="14" s="1"/>
  <c r="V60" i="14" s="1"/>
  <c r="T42" i="14"/>
  <c r="T22" i="14"/>
  <c r="U22" i="14" s="1"/>
  <c r="V22" i="14" s="1"/>
  <c r="U42" i="14" l="1"/>
  <c r="V42" i="14" l="1"/>
  <c r="R32" i="19" l="1"/>
  <c r="R48" i="18"/>
  <c r="R218" i="14"/>
  <c r="R220" i="14" s="1"/>
  <c r="R222" i="14" s="1"/>
  <c r="Q70" i="20" l="1"/>
  <c r="Q227" i="14" l="1"/>
  <c r="Q220" i="14"/>
  <c r="Q228" i="14" l="1"/>
  <c r="D13" i="22" l="1"/>
  <c r="S15" i="22"/>
  <c r="N15" i="22"/>
  <c r="K15" i="22"/>
  <c r="F15" i="22"/>
  <c r="L15" i="22" l="1"/>
  <c r="P15" i="22" l="1"/>
  <c r="M15" i="22"/>
  <c r="O15" i="22" l="1"/>
  <c r="T15" i="22"/>
  <c r="U15" i="22" l="1"/>
  <c r="A7" i="19"/>
  <c r="W15" i="22" l="1"/>
  <c r="U99" i="14"/>
  <c r="V99" i="14" s="1"/>
  <c r="S99" i="14"/>
  <c r="M99" i="14" s="1"/>
  <c r="O99" i="14" s="1"/>
  <c r="F99" i="14"/>
  <c r="Z127" i="14" l="1"/>
  <c r="S124" i="14"/>
  <c r="S127" i="14" s="1"/>
  <c r="K124" i="14"/>
  <c r="F124" i="14"/>
  <c r="F127" i="14" s="1"/>
  <c r="L124" i="14" l="1"/>
  <c r="L127" i="14" s="1"/>
  <c r="K127" i="14"/>
  <c r="N157" i="14"/>
  <c r="P124" i="14" l="1"/>
  <c r="P127" i="14" s="1"/>
  <c r="M124" i="14" l="1"/>
  <c r="M127" i="14" s="1"/>
  <c r="A8" i="11"/>
  <c r="O124" i="14" l="1"/>
  <c r="O127" i="14" s="1"/>
  <c r="T124" i="14"/>
  <c r="T127" i="14" s="1"/>
  <c r="U124" i="14" l="1"/>
  <c r="U127" i="14" s="1"/>
  <c r="V124" i="14" l="1"/>
  <c r="V127" i="14" s="1"/>
  <c r="U77" i="17" l="1"/>
  <c r="U78" i="17"/>
  <c r="U72" i="17"/>
  <c r="U76" i="17"/>
  <c r="U70" i="17"/>
  <c r="U71" i="17"/>
  <c r="U69" i="17"/>
  <c r="Z78" i="14" l="1"/>
  <c r="Z103" i="14"/>
  <c r="Z175" i="14"/>
  <c r="Z186" i="14"/>
  <c r="Z177" i="14" l="1"/>
  <c r="W20" i="14"/>
  <c r="W23" i="14" s="1"/>
  <c r="S16" i="20" l="1"/>
  <c r="K16" i="20"/>
  <c r="L16" i="20" s="1"/>
  <c r="P16" i="20" s="1"/>
  <c r="D16" i="20"/>
  <c r="M16" i="20" l="1"/>
  <c r="T16" i="20" s="1"/>
  <c r="U16" i="20" s="1"/>
  <c r="V16" i="20" s="1"/>
  <c r="F16" i="20"/>
  <c r="W37" i="12"/>
  <c r="O16" i="20" l="1"/>
  <c r="U37" i="12"/>
  <c r="F7" i="24" l="1"/>
  <c r="F8" i="24"/>
  <c r="O19" i="19" l="1"/>
  <c r="O21" i="19"/>
  <c r="O22" i="19"/>
  <c r="F16" i="19"/>
  <c r="F17" i="19"/>
  <c r="F18" i="19"/>
  <c r="F19" i="19"/>
  <c r="F21" i="19"/>
  <c r="F22" i="19"/>
  <c r="S21" i="19"/>
  <c r="T21" i="19" s="1"/>
  <c r="U21" i="19" s="1"/>
  <c r="V21" i="19" s="1"/>
  <c r="S19" i="19"/>
  <c r="T19" i="19" s="1"/>
  <c r="U19" i="19" s="1"/>
  <c r="V19" i="19" s="1"/>
  <c r="S22" i="19"/>
  <c r="T22" i="19" s="1"/>
  <c r="U22" i="19" s="1"/>
  <c r="V22" i="19" s="1"/>
  <c r="D23" i="19"/>
  <c r="B23" i="12" s="1"/>
  <c r="E23" i="19"/>
  <c r="C23" i="12" s="1"/>
  <c r="G23" i="19"/>
  <c r="E23" i="12" s="1"/>
  <c r="H23" i="19"/>
  <c r="F23" i="12" s="1"/>
  <c r="I23" i="19"/>
  <c r="G23" i="12" s="1"/>
  <c r="J23" i="19"/>
  <c r="H23" i="12" s="1"/>
  <c r="S7" i="19"/>
  <c r="S8" i="19"/>
  <c r="S9" i="19"/>
  <c r="S10" i="19"/>
  <c r="S11" i="19"/>
  <c r="S12" i="19"/>
  <c r="S13" i="19"/>
  <c r="S14" i="19"/>
  <c r="S15" i="19"/>
  <c r="S16" i="19"/>
  <c r="S17" i="19"/>
  <c r="S18" i="19"/>
  <c r="N23" i="19"/>
  <c r="L23" i="12" s="1"/>
  <c r="Q23" i="19"/>
  <c r="O23" i="12" s="1"/>
  <c r="R23" i="19"/>
  <c r="P23" i="12" s="1"/>
  <c r="W23" i="19"/>
  <c r="U23" i="12" s="1"/>
  <c r="L16" i="19"/>
  <c r="L17" i="19"/>
  <c r="L18" i="19"/>
  <c r="P18" i="19" s="1"/>
  <c r="P17" i="19" l="1"/>
  <c r="M17" i="19" s="1"/>
  <c r="O17" i="19" s="1"/>
  <c r="M18" i="19"/>
  <c r="P16" i="19"/>
  <c r="M16" i="19" s="1"/>
  <c r="O16" i="19" s="1"/>
  <c r="T18" i="19" l="1"/>
  <c r="U18" i="19" s="1"/>
  <c r="V18" i="19" s="1"/>
  <c r="O18" i="19"/>
  <c r="T16" i="19"/>
  <c r="U16" i="19" s="1"/>
  <c r="V16" i="19" s="1"/>
  <c r="T17" i="19"/>
  <c r="U17" i="19" s="1"/>
  <c r="V17" i="19" s="1"/>
  <c r="S7" i="24" l="1"/>
  <c r="S8" i="24"/>
  <c r="P7" i="24"/>
  <c r="M7" i="24" s="1"/>
  <c r="P8" i="24"/>
  <c r="AA9" i="24"/>
  <c r="Z9" i="24"/>
  <c r="Y9" i="24"/>
  <c r="W13" i="12" s="1"/>
  <c r="X9" i="24"/>
  <c r="V13" i="12" s="1"/>
  <c r="V9" i="24"/>
  <c r="T13" i="12" s="1"/>
  <c r="R9" i="24"/>
  <c r="P13" i="12" s="1"/>
  <c r="Q9" i="24"/>
  <c r="O13" i="12" s="1"/>
  <c r="N9" i="24"/>
  <c r="L13" i="12" s="1"/>
  <c r="J9" i="24"/>
  <c r="H13" i="12" s="1"/>
  <c r="I9" i="24"/>
  <c r="G13" i="12" s="1"/>
  <c r="H9" i="24"/>
  <c r="F13" i="12" s="1"/>
  <c r="G9" i="24"/>
  <c r="E13" i="12" s="1"/>
  <c r="E9" i="24"/>
  <c r="C13" i="12" s="1"/>
  <c r="S6" i="24"/>
  <c r="K6" i="24"/>
  <c r="K9" i="24" s="1"/>
  <c r="I13" i="12" s="1"/>
  <c r="D6" i="24"/>
  <c r="S66" i="17"/>
  <c r="K66" i="17"/>
  <c r="L66" i="17" s="1"/>
  <c r="F66" i="17"/>
  <c r="M8" i="24" l="1"/>
  <c r="O8" i="24" s="1"/>
  <c r="O7" i="24"/>
  <c r="T8" i="24"/>
  <c r="U8" i="24" s="1"/>
  <c r="W8" i="24" s="1"/>
  <c r="S9" i="24"/>
  <c r="Q13" i="12" s="1"/>
  <c r="D9" i="24"/>
  <c r="B13" i="12" s="1"/>
  <c r="F6" i="24"/>
  <c r="F9" i="24" s="1"/>
  <c r="D13" i="12" s="1"/>
  <c r="L6" i="24"/>
  <c r="P66" i="17"/>
  <c r="T7" i="24" l="1"/>
  <c r="U7" i="24" s="1"/>
  <c r="W7" i="24" s="1"/>
  <c r="P6" i="24"/>
  <c r="L9" i="24"/>
  <c r="J13" i="12" s="1"/>
  <c r="M66" i="17"/>
  <c r="O66" i="17" s="1"/>
  <c r="T66" i="17" l="1"/>
  <c r="U66" i="17" s="1"/>
  <c r="W66" i="17" s="1"/>
  <c r="P9" i="24"/>
  <c r="N13" i="12" s="1"/>
  <c r="M6" i="24"/>
  <c r="M9" i="24" l="1"/>
  <c r="K13" i="12" s="1"/>
  <c r="O6" i="24"/>
  <c r="O9" i="24" s="1"/>
  <c r="M13" i="12" s="1"/>
  <c r="T6" i="24"/>
  <c r="U6" i="24" l="1"/>
  <c r="T9" i="24"/>
  <c r="R13" i="12" s="1"/>
  <c r="W6" i="24" l="1"/>
  <c r="W9" i="24" s="1"/>
  <c r="U13" i="12" s="1"/>
  <c r="U9" i="24"/>
  <c r="S13" i="12" s="1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l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l="1"/>
  <c r="A77" i="17" s="1"/>
  <c r="A78" i="17" s="1"/>
  <c r="A79" i="17" s="1"/>
  <c r="Y11" i="12" s="1"/>
  <c r="B177" i="14" l="1"/>
  <c r="A8" i="14" l="1"/>
  <c r="A9" i="14" s="1"/>
  <c r="A10" i="14" s="1"/>
  <c r="A11" i="14" s="1"/>
  <c r="A12" i="14" s="1"/>
  <c r="A13" i="14" s="1"/>
  <c r="A14" i="14" l="1"/>
  <c r="A15" i="14" s="1"/>
  <c r="A19" i="14" s="1"/>
  <c r="A20" i="14" s="1"/>
  <c r="A21" i="14" s="1"/>
  <c r="A22" i="14" s="1"/>
  <c r="T21" i="22" l="1"/>
  <c r="U21" i="22" s="1"/>
  <c r="O21" i="22"/>
  <c r="Y18" i="22"/>
  <c r="X18" i="22"/>
  <c r="V18" i="22"/>
  <c r="R18" i="22"/>
  <c r="Q18" i="22"/>
  <c r="J18" i="22"/>
  <c r="I18" i="22"/>
  <c r="H18" i="22"/>
  <c r="G18" i="22"/>
  <c r="E18" i="22"/>
  <c r="U17" i="22"/>
  <c r="K17" i="22"/>
  <c r="F17" i="22"/>
  <c r="U16" i="22"/>
  <c r="K16" i="22"/>
  <c r="F16" i="22"/>
  <c r="U13" i="22"/>
  <c r="K13" i="22"/>
  <c r="F13" i="22"/>
  <c r="S14" i="22"/>
  <c r="K14" i="22"/>
  <c r="D14" i="22"/>
  <c r="S12" i="22"/>
  <c r="K12" i="22"/>
  <c r="F12" i="22"/>
  <c r="S11" i="22"/>
  <c r="K11" i="22"/>
  <c r="F11" i="22"/>
  <c r="S10" i="22"/>
  <c r="K10" i="22"/>
  <c r="S9" i="22"/>
  <c r="K9" i="22"/>
  <c r="F9" i="22"/>
  <c r="A9" i="22"/>
  <c r="S8" i="22"/>
  <c r="K8" i="22"/>
  <c r="F8" i="22"/>
  <c r="T7" i="22"/>
  <c r="U7" i="22" s="1"/>
  <c r="O7" i="22"/>
  <c r="C25" i="12" l="1"/>
  <c r="H25" i="12"/>
  <c r="V25" i="12"/>
  <c r="T25" i="12"/>
  <c r="E25" i="12"/>
  <c r="O25" i="12"/>
  <c r="W25" i="12"/>
  <c r="G25" i="12"/>
  <c r="F25" i="12"/>
  <c r="P25" i="12"/>
  <c r="A10" i="22"/>
  <c r="L13" i="22"/>
  <c r="W16" i="22"/>
  <c r="L14" i="22"/>
  <c r="W13" i="22"/>
  <c r="L10" i="22"/>
  <c r="L8" i="22"/>
  <c r="L9" i="22"/>
  <c r="L12" i="22"/>
  <c r="L17" i="22"/>
  <c r="L11" i="22"/>
  <c r="L16" i="22"/>
  <c r="W17" i="22"/>
  <c r="N18" i="22"/>
  <c r="D18" i="22"/>
  <c r="B25" i="12" s="1"/>
  <c r="K18" i="22"/>
  <c r="I25" i="12" s="1"/>
  <c r="S18" i="22"/>
  <c r="Q25" i="12" s="1"/>
  <c r="F10" i="22"/>
  <c r="F14" i="22"/>
  <c r="P9" i="22" l="1"/>
  <c r="P12" i="22"/>
  <c r="P16" i="22"/>
  <c r="L18" i="22"/>
  <c r="J25" i="12" s="1"/>
  <c r="P13" i="22"/>
  <c r="P17" i="22"/>
  <c r="M17" i="22" s="1"/>
  <c r="L25" i="12"/>
  <c r="P11" i="22"/>
  <c r="M13" i="22"/>
  <c r="P8" i="22"/>
  <c r="M16" i="22"/>
  <c r="P10" i="22"/>
  <c r="P14" i="22"/>
  <c r="A11" i="22"/>
  <c r="F18" i="22"/>
  <c r="D25" i="12" s="1"/>
  <c r="M9" i="22"/>
  <c r="M12" i="22" l="1"/>
  <c r="P18" i="22"/>
  <c r="N25" i="12" s="1"/>
  <c r="A12" i="22"/>
  <c r="M10" i="22"/>
  <c r="O16" i="22"/>
  <c r="O13" i="22"/>
  <c r="M14" i="22"/>
  <c r="O9" i="22"/>
  <c r="O12" i="22"/>
  <c r="O17" i="22"/>
  <c r="M8" i="22"/>
  <c r="M11" i="22"/>
  <c r="T12" i="22"/>
  <c r="T9" i="22"/>
  <c r="T8" i="22" l="1"/>
  <c r="O8" i="22"/>
  <c r="T10" i="22"/>
  <c r="O10" i="22"/>
  <c r="M18" i="22"/>
  <c r="K25" i="12" s="1"/>
  <c r="U12" i="22"/>
  <c r="T11" i="22"/>
  <c r="O11" i="22"/>
  <c r="T14" i="22"/>
  <c r="O14" i="22"/>
  <c r="U9" i="22"/>
  <c r="T18" i="22" l="1"/>
  <c r="R25" i="12" s="1"/>
  <c r="W12" i="22"/>
  <c r="U10" i="22"/>
  <c r="O18" i="22"/>
  <c r="M25" i="12" s="1"/>
  <c r="U11" i="22"/>
  <c r="U14" i="22"/>
  <c r="U8" i="22"/>
  <c r="W9" i="22"/>
  <c r="U18" i="22" l="1"/>
  <c r="V23" i="22" s="1"/>
  <c r="S25" i="12"/>
  <c r="W11" i="22"/>
  <c r="W10" i="22"/>
  <c r="W14" i="22"/>
  <c r="W8" i="22"/>
  <c r="T61" i="20"/>
  <c r="U61" i="20" s="1"/>
  <c r="O61" i="20"/>
  <c r="Y60" i="20"/>
  <c r="X60" i="20"/>
  <c r="V60" i="20"/>
  <c r="R60" i="20"/>
  <c r="Q60" i="20"/>
  <c r="N60" i="20"/>
  <c r="J60" i="20"/>
  <c r="I60" i="20"/>
  <c r="H60" i="20"/>
  <c r="G60" i="20"/>
  <c r="E60" i="20"/>
  <c r="S59" i="20"/>
  <c r="K59" i="20"/>
  <c r="L59" i="20" s="1"/>
  <c r="P59" i="20" s="1"/>
  <c r="F59" i="20"/>
  <c r="S58" i="20"/>
  <c r="K58" i="20"/>
  <c r="L58" i="20" s="1"/>
  <c r="F58" i="20"/>
  <c r="S57" i="20"/>
  <c r="K57" i="20"/>
  <c r="L57" i="20" s="1"/>
  <c r="P57" i="20" s="1"/>
  <c r="D60" i="20"/>
  <c r="S56" i="20"/>
  <c r="K56" i="20"/>
  <c r="L56" i="20" s="1"/>
  <c r="F56" i="20"/>
  <c r="S55" i="20"/>
  <c r="K55" i="20"/>
  <c r="L55" i="20" s="1"/>
  <c r="P55" i="20" s="1"/>
  <c r="F55" i="20"/>
  <c r="S54" i="20"/>
  <c r="K54" i="20"/>
  <c r="L54" i="20" s="1"/>
  <c r="F54" i="20"/>
  <c r="S53" i="20"/>
  <c r="K53" i="20"/>
  <c r="L53" i="20" s="1"/>
  <c r="F53" i="20"/>
  <c r="A53" i="20"/>
  <c r="A54" i="20" s="1"/>
  <c r="A55" i="20" s="1"/>
  <c r="A56" i="20" s="1"/>
  <c r="A57" i="20" s="1"/>
  <c r="A58" i="20" s="1"/>
  <c r="S52" i="20"/>
  <c r="K52" i="20"/>
  <c r="F52" i="20"/>
  <c r="T51" i="20"/>
  <c r="U51" i="20" s="1"/>
  <c r="O51" i="20"/>
  <c r="U50" i="20"/>
  <c r="O50" i="20"/>
  <c r="Z49" i="20"/>
  <c r="Y49" i="20"/>
  <c r="W19" i="12" s="1"/>
  <c r="X49" i="20"/>
  <c r="V19" i="12" s="1"/>
  <c r="V49" i="20"/>
  <c r="T19" i="12" s="1"/>
  <c r="R49" i="20"/>
  <c r="P19" i="12" s="1"/>
  <c r="Q49" i="20"/>
  <c r="O19" i="12" s="1"/>
  <c r="N49" i="20"/>
  <c r="L19" i="12" s="1"/>
  <c r="J49" i="20"/>
  <c r="H19" i="12" s="1"/>
  <c r="I49" i="20"/>
  <c r="G19" i="12" s="1"/>
  <c r="H49" i="20"/>
  <c r="F19" i="12" s="1"/>
  <c r="G49" i="20"/>
  <c r="E19" i="12" s="1"/>
  <c r="E49" i="20"/>
  <c r="C19" i="12" s="1"/>
  <c r="S48" i="20"/>
  <c r="P48" i="20"/>
  <c r="O48" i="20"/>
  <c r="F48" i="20"/>
  <c r="S47" i="20"/>
  <c r="P47" i="20"/>
  <c r="O47" i="20"/>
  <c r="F47" i="20"/>
  <c r="S45" i="20"/>
  <c r="P45" i="20"/>
  <c r="T45" i="20" s="1"/>
  <c r="U45" i="20" s="1"/>
  <c r="W45" i="20" s="1"/>
  <c r="O45" i="20"/>
  <c r="F45" i="20"/>
  <c r="S44" i="20"/>
  <c r="K44" i="20"/>
  <c r="L44" i="20" s="1"/>
  <c r="P44" i="20" s="1"/>
  <c r="F44" i="20"/>
  <c r="S43" i="20"/>
  <c r="K43" i="20"/>
  <c r="L43" i="20" s="1"/>
  <c r="F43" i="20"/>
  <c r="S42" i="20"/>
  <c r="K42" i="20"/>
  <c r="L42" i="20" s="1"/>
  <c r="F42" i="20"/>
  <c r="S41" i="20"/>
  <c r="K41" i="20"/>
  <c r="L41" i="20" s="1"/>
  <c r="F41" i="20"/>
  <c r="S40" i="20"/>
  <c r="K40" i="20"/>
  <c r="L40" i="20" s="1"/>
  <c r="P40" i="20" s="1"/>
  <c r="F40" i="20"/>
  <c r="S39" i="20"/>
  <c r="K39" i="20"/>
  <c r="L39" i="20" s="1"/>
  <c r="P39" i="20" s="1"/>
  <c r="F39" i="20"/>
  <c r="S38" i="20"/>
  <c r="K38" i="20"/>
  <c r="L38" i="20" s="1"/>
  <c r="F38" i="20"/>
  <c r="S37" i="20"/>
  <c r="K37" i="20"/>
  <c r="L37" i="20" s="1"/>
  <c r="F37" i="20"/>
  <c r="S36" i="20"/>
  <c r="K36" i="20"/>
  <c r="L36" i="20" s="1"/>
  <c r="F36" i="20"/>
  <c r="S35" i="20"/>
  <c r="K35" i="20"/>
  <c r="L35" i="20" s="1"/>
  <c r="P35" i="20" s="1"/>
  <c r="F35" i="20"/>
  <c r="S34" i="20"/>
  <c r="K34" i="20"/>
  <c r="L34" i="20" s="1"/>
  <c r="P34" i="20" s="1"/>
  <c r="F34" i="20"/>
  <c r="S33" i="20"/>
  <c r="K33" i="20"/>
  <c r="L33" i="20" s="1"/>
  <c r="F33" i="20"/>
  <c r="S32" i="20"/>
  <c r="K32" i="20"/>
  <c r="L32" i="20" s="1"/>
  <c r="F32" i="20"/>
  <c r="S31" i="20"/>
  <c r="K31" i="20"/>
  <c r="L31" i="20" s="1"/>
  <c r="P31" i="20" s="1"/>
  <c r="D31" i="20"/>
  <c r="D49" i="20" s="1"/>
  <c r="B19" i="12" s="1"/>
  <c r="S30" i="20"/>
  <c r="K30" i="20"/>
  <c r="F30" i="20"/>
  <c r="A30" i="20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Y19" i="12" s="1"/>
  <c r="S29" i="20"/>
  <c r="K29" i="20"/>
  <c r="L29" i="20" s="1"/>
  <c r="F29" i="20"/>
  <c r="T28" i="20"/>
  <c r="U28" i="20" s="1"/>
  <c r="Y26" i="20"/>
  <c r="W17" i="12" s="1"/>
  <c r="X26" i="20"/>
  <c r="V17" i="12" s="1"/>
  <c r="R26" i="20"/>
  <c r="P17" i="12" s="1"/>
  <c r="Q26" i="20"/>
  <c r="O17" i="12" s="1"/>
  <c r="N26" i="20"/>
  <c r="L17" i="12" s="1"/>
  <c r="J26" i="20"/>
  <c r="H17" i="12" s="1"/>
  <c r="I26" i="20"/>
  <c r="G17" i="12" s="1"/>
  <c r="H26" i="20"/>
  <c r="F17" i="12" s="1"/>
  <c r="G26" i="20"/>
  <c r="E17" i="12" s="1"/>
  <c r="E26" i="20"/>
  <c r="C17" i="12" s="1"/>
  <c r="U25" i="20"/>
  <c r="W25" i="20" s="1"/>
  <c r="K25" i="20"/>
  <c r="L25" i="20" s="1"/>
  <c r="P25" i="20" s="1"/>
  <c r="M25" i="20" s="1"/>
  <c r="F25" i="20"/>
  <c r="S24" i="20"/>
  <c r="K24" i="20"/>
  <c r="L24" i="20" s="1"/>
  <c r="F24" i="20"/>
  <c r="S23" i="20"/>
  <c r="K23" i="20"/>
  <c r="L23" i="20" s="1"/>
  <c r="P23" i="20" s="1"/>
  <c r="F23" i="20"/>
  <c r="S22" i="20"/>
  <c r="K22" i="20"/>
  <c r="L22" i="20" s="1"/>
  <c r="P22" i="20" s="1"/>
  <c r="F22" i="20"/>
  <c r="S21" i="20"/>
  <c r="K21" i="20"/>
  <c r="L21" i="20" s="1"/>
  <c r="F21" i="20"/>
  <c r="S20" i="20"/>
  <c r="K20" i="20"/>
  <c r="L20" i="20" s="1"/>
  <c r="F20" i="20"/>
  <c r="S19" i="20"/>
  <c r="K19" i="20"/>
  <c r="L19" i="20" s="1"/>
  <c r="P19" i="20" s="1"/>
  <c r="F19" i="20"/>
  <c r="S18" i="20"/>
  <c r="K18" i="20"/>
  <c r="L18" i="20" s="1"/>
  <c r="P18" i="20" s="1"/>
  <c r="F18" i="20"/>
  <c r="S17" i="20"/>
  <c r="K17" i="20"/>
  <c r="L17" i="20" s="1"/>
  <c r="P17" i="20" s="1"/>
  <c r="F17" i="20"/>
  <c r="S15" i="20"/>
  <c r="K15" i="20"/>
  <c r="L15" i="20" s="1"/>
  <c r="P15" i="20" s="1"/>
  <c r="F15" i="20"/>
  <c r="S14" i="20"/>
  <c r="K14" i="20"/>
  <c r="L14" i="20" s="1"/>
  <c r="P14" i="20" s="1"/>
  <c r="F14" i="20"/>
  <c r="S13" i="20"/>
  <c r="K13" i="20"/>
  <c r="L13" i="20" s="1"/>
  <c r="P13" i="20" s="1"/>
  <c r="F13" i="20"/>
  <c r="S12" i="20"/>
  <c r="K12" i="20"/>
  <c r="L12" i="20" s="1"/>
  <c r="F12" i="20"/>
  <c r="S11" i="20"/>
  <c r="K11" i="20"/>
  <c r="L11" i="20" s="1"/>
  <c r="F11" i="20"/>
  <c r="S10" i="20"/>
  <c r="K10" i="20"/>
  <c r="L10" i="20" s="1"/>
  <c r="P10" i="20" s="1"/>
  <c r="F10" i="20"/>
  <c r="S9" i="20"/>
  <c r="K9" i="20"/>
  <c r="L9" i="20" s="1"/>
  <c r="P9" i="20" s="1"/>
  <c r="D9" i="20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S8" i="20"/>
  <c r="K8" i="20"/>
  <c r="L8" i="20" s="1"/>
  <c r="F8" i="20"/>
  <c r="C21" i="12" l="1"/>
  <c r="E62" i="20"/>
  <c r="H21" i="12"/>
  <c r="J62" i="20"/>
  <c r="T21" i="12"/>
  <c r="M34" i="20"/>
  <c r="F21" i="12"/>
  <c r="H62" i="20"/>
  <c r="O21" i="12"/>
  <c r="Q62" i="20"/>
  <c r="W21" i="12"/>
  <c r="Y62" i="20"/>
  <c r="Y23" i="22"/>
  <c r="G21" i="12"/>
  <c r="I62" i="20"/>
  <c r="P21" i="12"/>
  <c r="R62" i="20"/>
  <c r="E21" i="12"/>
  <c r="G62" i="20"/>
  <c r="L21" i="12"/>
  <c r="N62" i="20"/>
  <c r="V21" i="12"/>
  <c r="X62" i="20"/>
  <c r="X23" i="22"/>
  <c r="B21" i="12"/>
  <c r="D62" i="20"/>
  <c r="W18" i="22"/>
  <c r="A24" i="20"/>
  <c r="A25" i="20" s="1"/>
  <c r="A26" i="20" s="1"/>
  <c r="Y17" i="12" s="1"/>
  <c r="M13" i="20"/>
  <c r="M18" i="20"/>
  <c r="M22" i="20"/>
  <c r="T22" i="20" s="1"/>
  <c r="U22" i="20" s="1"/>
  <c r="W22" i="20" s="1"/>
  <c r="M15" i="20"/>
  <c r="T15" i="20" s="1"/>
  <c r="U15" i="20" s="1"/>
  <c r="M23" i="20"/>
  <c r="T47" i="20"/>
  <c r="U47" i="20" s="1"/>
  <c r="W47" i="20" s="1"/>
  <c r="T48" i="20"/>
  <c r="U48" i="20" s="1"/>
  <c r="W48" i="20" s="1"/>
  <c r="M39" i="20"/>
  <c r="O39" i="20" s="1"/>
  <c r="S60" i="20"/>
  <c r="M14" i="20"/>
  <c r="O14" i="20" s="1"/>
  <c r="M17" i="20"/>
  <c r="O17" i="20" s="1"/>
  <c r="S26" i="20"/>
  <c r="Q17" i="12" s="1"/>
  <c r="O23" i="20"/>
  <c r="M9" i="20"/>
  <c r="T9" i="20" s="1"/>
  <c r="U9" i="20" s="1"/>
  <c r="P32" i="20"/>
  <c r="M31" i="20"/>
  <c r="T31" i="20" s="1"/>
  <c r="U31" i="20" s="1"/>
  <c r="W31" i="20" s="1"/>
  <c r="P36" i="20"/>
  <c r="P12" i="20"/>
  <c r="P24" i="20"/>
  <c r="M35" i="20"/>
  <c r="O35" i="20" s="1"/>
  <c r="L26" i="20"/>
  <c r="J17" i="12" s="1"/>
  <c r="P8" i="20"/>
  <c r="P11" i="20"/>
  <c r="P20" i="20"/>
  <c r="P33" i="20"/>
  <c r="P41" i="20"/>
  <c r="M57" i="20"/>
  <c r="O57" i="20" s="1"/>
  <c r="M10" i="20"/>
  <c r="T10" i="20" s="1"/>
  <c r="U10" i="20" s="1"/>
  <c r="W10" i="20" s="1"/>
  <c r="P37" i="20"/>
  <c r="T34" i="20"/>
  <c r="U34" i="20" s="1"/>
  <c r="W34" i="20" s="1"/>
  <c r="M40" i="20"/>
  <c r="O40" i="20" s="1"/>
  <c r="S49" i="20"/>
  <c r="Q19" i="12" s="1"/>
  <c r="P38" i="20"/>
  <c r="M44" i="20"/>
  <c r="O44" i="20" s="1"/>
  <c r="F9" i="20"/>
  <c r="F26" i="20" s="1"/>
  <c r="D17" i="12" s="1"/>
  <c r="M19" i="20"/>
  <c r="O19" i="20" s="1"/>
  <c r="P21" i="20"/>
  <c r="T23" i="20"/>
  <c r="U23" i="20" s="1"/>
  <c r="W23" i="20" s="1"/>
  <c r="D26" i="20"/>
  <c r="B17" i="12" s="1"/>
  <c r="P29" i="20"/>
  <c r="K49" i="20"/>
  <c r="I19" i="12" s="1"/>
  <c r="L30" i="20"/>
  <c r="L49" i="20" s="1"/>
  <c r="J19" i="12" s="1"/>
  <c r="O34" i="20"/>
  <c r="O13" i="20"/>
  <c r="O18" i="20"/>
  <c r="O22" i="20"/>
  <c r="O25" i="20"/>
  <c r="F31" i="20"/>
  <c r="P43" i="20"/>
  <c r="K60" i="20"/>
  <c r="L52" i="20"/>
  <c r="F49" i="20"/>
  <c r="D19" i="12" s="1"/>
  <c r="M55" i="20"/>
  <c r="O55" i="20" s="1"/>
  <c r="P58" i="20"/>
  <c r="M59" i="20"/>
  <c r="O59" i="20" s="1"/>
  <c r="T13" i="20"/>
  <c r="U13" i="20" s="1"/>
  <c r="T18" i="20"/>
  <c r="U18" i="20" s="1"/>
  <c r="W18" i="20" s="1"/>
  <c r="K26" i="20"/>
  <c r="I17" i="12" s="1"/>
  <c r="P42" i="20"/>
  <c r="P53" i="20"/>
  <c r="P54" i="20"/>
  <c r="P56" i="20"/>
  <c r="F57" i="20"/>
  <c r="F60" i="20" s="1"/>
  <c r="D21" i="12" s="1"/>
  <c r="I21" i="12" l="1"/>
  <c r="K62" i="20"/>
  <c r="Q21" i="12"/>
  <c r="S62" i="20"/>
  <c r="U25" i="12"/>
  <c r="W23" i="22"/>
  <c r="AB23" i="22" s="1"/>
  <c r="F62" i="20"/>
  <c r="O10" i="20"/>
  <c r="O15" i="20"/>
  <c r="T35" i="20"/>
  <c r="U35" i="20" s="1"/>
  <c r="W35" i="20" s="1"/>
  <c r="T14" i="20"/>
  <c r="U14" i="20" s="1"/>
  <c r="V14" i="20" s="1"/>
  <c r="W14" i="20" s="1"/>
  <c r="T39" i="20"/>
  <c r="U39" i="20" s="1"/>
  <c r="W39" i="20" s="1"/>
  <c r="T17" i="20"/>
  <c r="U17" i="20" s="1"/>
  <c r="O9" i="20"/>
  <c r="T19" i="20"/>
  <c r="U19" i="20" s="1"/>
  <c r="W19" i="20" s="1"/>
  <c r="V9" i="20"/>
  <c r="W9" i="20" s="1"/>
  <c r="M43" i="20"/>
  <c r="O43" i="20" s="1"/>
  <c r="M21" i="20"/>
  <c r="O21" i="20" s="1"/>
  <c r="M42" i="20"/>
  <c r="O42" i="20" s="1"/>
  <c r="L60" i="20"/>
  <c r="P52" i="20"/>
  <c r="O31" i="20"/>
  <c r="T40" i="20"/>
  <c r="U40" i="20" s="1"/>
  <c r="W40" i="20" s="1"/>
  <c r="T57" i="20"/>
  <c r="U57" i="20" s="1"/>
  <c r="W57" i="20" s="1"/>
  <c r="M33" i="20"/>
  <c r="O33" i="20" s="1"/>
  <c r="M11" i="20"/>
  <c r="O11" i="20" s="1"/>
  <c r="M54" i="20"/>
  <c r="O54" i="20" s="1"/>
  <c r="P30" i="20"/>
  <c r="P49" i="20" s="1"/>
  <c r="N19" i="12" s="1"/>
  <c r="T44" i="20"/>
  <c r="U44" i="20" s="1"/>
  <c r="W44" i="20" s="1"/>
  <c r="M41" i="20"/>
  <c r="O41" i="20" s="1"/>
  <c r="M8" i="20"/>
  <c r="P26" i="20"/>
  <c r="N17" i="12" s="1"/>
  <c r="M53" i="20"/>
  <c r="O53" i="20" s="1"/>
  <c r="T59" i="20"/>
  <c r="U59" i="20" s="1"/>
  <c r="W59" i="20" s="1"/>
  <c r="T55" i="20"/>
  <c r="U55" i="20" s="1"/>
  <c r="W55" i="20" s="1"/>
  <c r="M38" i="20"/>
  <c r="O38" i="20" s="1"/>
  <c r="V15" i="20"/>
  <c r="W15" i="20" s="1"/>
  <c r="M20" i="20"/>
  <c r="O20" i="20" s="1"/>
  <c r="M24" i="20"/>
  <c r="O24" i="20" s="1"/>
  <c r="M36" i="20"/>
  <c r="O36" i="20" s="1"/>
  <c r="M32" i="20"/>
  <c r="O32" i="20" s="1"/>
  <c r="M56" i="20"/>
  <c r="O56" i="20" s="1"/>
  <c r="M58" i="20"/>
  <c r="O58" i="20" s="1"/>
  <c r="M29" i="20"/>
  <c r="T29" i="20" s="1"/>
  <c r="M37" i="20"/>
  <c r="O37" i="20" s="1"/>
  <c r="M12" i="20"/>
  <c r="O12" i="20" s="1"/>
  <c r="V13" i="20"/>
  <c r="W13" i="20" s="1"/>
  <c r="J21" i="12" l="1"/>
  <c r="L62" i="20"/>
  <c r="T24" i="20"/>
  <c r="U24" i="20" s="1"/>
  <c r="W24" i="20" s="1"/>
  <c r="T43" i="20"/>
  <c r="U43" i="20" s="1"/>
  <c r="W43" i="20" s="1"/>
  <c r="T54" i="20"/>
  <c r="U54" i="20" s="1"/>
  <c r="W54" i="20" s="1"/>
  <c r="T38" i="20"/>
  <c r="U38" i="20" s="1"/>
  <c r="W38" i="20" s="1"/>
  <c r="T21" i="20"/>
  <c r="U21" i="20" s="1"/>
  <c r="W21" i="20" s="1"/>
  <c r="T32" i="20"/>
  <c r="U32" i="20" s="1"/>
  <c r="W32" i="20" s="1"/>
  <c r="T58" i="20"/>
  <c r="U58" i="20" s="1"/>
  <c r="W58" i="20" s="1"/>
  <c r="T11" i="20"/>
  <c r="U11" i="20" s="1"/>
  <c r="V11" i="20" s="1"/>
  <c r="W11" i="20" s="1"/>
  <c r="V17" i="20"/>
  <c r="W17" i="20" s="1"/>
  <c r="P60" i="20"/>
  <c r="M52" i="20"/>
  <c r="T12" i="20"/>
  <c r="U12" i="20" s="1"/>
  <c r="W12" i="20" s="1"/>
  <c r="O29" i="20"/>
  <c r="M26" i="20"/>
  <c r="K17" i="12" s="1"/>
  <c r="O8" i="20"/>
  <c r="O26" i="20" s="1"/>
  <c r="M17" i="12" s="1"/>
  <c r="T56" i="20"/>
  <c r="U56" i="20" s="1"/>
  <c r="W56" i="20" s="1"/>
  <c r="T36" i="20"/>
  <c r="U36" i="20" s="1"/>
  <c r="W36" i="20" s="1"/>
  <c r="T20" i="20"/>
  <c r="U20" i="20" s="1"/>
  <c r="W20" i="20" s="1"/>
  <c r="T53" i="20"/>
  <c r="U53" i="20" s="1"/>
  <c r="W53" i="20" s="1"/>
  <c r="M30" i="20"/>
  <c r="O30" i="20" s="1"/>
  <c r="T37" i="20"/>
  <c r="U37" i="20" s="1"/>
  <c r="W37" i="20" s="1"/>
  <c r="T8" i="20"/>
  <c r="T41" i="20"/>
  <c r="U41" i="20" s="1"/>
  <c r="W41" i="20" s="1"/>
  <c r="T33" i="20"/>
  <c r="U33" i="20" s="1"/>
  <c r="W33" i="20" s="1"/>
  <c r="T42" i="20"/>
  <c r="U42" i="20" s="1"/>
  <c r="W42" i="20" s="1"/>
  <c r="U29" i="20"/>
  <c r="N21" i="12" l="1"/>
  <c r="P62" i="20"/>
  <c r="T26" i="20"/>
  <c r="R17" i="12" s="1"/>
  <c r="U8" i="20"/>
  <c r="V8" i="20" s="1"/>
  <c r="M60" i="20"/>
  <c r="O52" i="20"/>
  <c r="O60" i="20" s="1"/>
  <c r="M21" i="12" s="1"/>
  <c r="M49" i="20"/>
  <c r="K19" i="12" s="1"/>
  <c r="T52" i="20"/>
  <c r="W29" i="20"/>
  <c r="T30" i="20"/>
  <c r="O49" i="20"/>
  <c r="M19" i="12" s="1"/>
  <c r="K21" i="12" l="1"/>
  <c r="M62" i="20"/>
  <c r="O62" i="20"/>
  <c r="T60" i="20"/>
  <c r="U52" i="20"/>
  <c r="U26" i="20"/>
  <c r="S17" i="12" s="1"/>
  <c r="V26" i="20"/>
  <c r="U30" i="20"/>
  <c r="T49" i="20"/>
  <c r="R19" i="12" s="1"/>
  <c r="R21" i="12" l="1"/>
  <c r="T62" i="20"/>
  <c r="T17" i="12"/>
  <c r="V62" i="20"/>
  <c r="W8" i="20"/>
  <c r="W26" i="20" s="1"/>
  <c r="U17" i="12" s="1"/>
  <c r="W30" i="20"/>
  <c r="W49" i="20" s="1"/>
  <c r="U19" i="12" s="1"/>
  <c r="U49" i="20"/>
  <c r="S19" i="12" s="1"/>
  <c r="U60" i="20"/>
  <c r="W52" i="20"/>
  <c r="W60" i="20" s="1"/>
  <c r="U21" i="12" l="1"/>
  <c r="W62" i="20"/>
  <c r="S21" i="12"/>
  <c r="U62" i="20"/>
  <c r="T24" i="19"/>
  <c r="U24" i="19" s="1"/>
  <c r="O24" i="19"/>
  <c r="Y23" i="19"/>
  <c r="W23" i="12" s="1"/>
  <c r="X23" i="19"/>
  <c r="V23" i="12" s="1"/>
  <c r="K15" i="19"/>
  <c r="L15" i="19" s="1"/>
  <c r="F15" i="19"/>
  <c r="K14" i="19"/>
  <c r="F14" i="19"/>
  <c r="K13" i="19"/>
  <c r="L13" i="19" s="1"/>
  <c r="F13" i="19"/>
  <c r="K12" i="19"/>
  <c r="L12" i="19" s="1"/>
  <c r="F12" i="19"/>
  <c r="K11" i="19"/>
  <c r="F11" i="19"/>
  <c r="K10" i="19"/>
  <c r="F10" i="19"/>
  <c r="V9" i="19"/>
  <c r="K9" i="19"/>
  <c r="L9" i="19" s="1"/>
  <c r="F9" i="19"/>
  <c r="K8" i="19"/>
  <c r="L8" i="19" s="1"/>
  <c r="F8" i="19"/>
  <c r="K7" i="19"/>
  <c r="L7" i="19" s="1"/>
  <c r="F7" i="19"/>
  <c r="S23" i="19"/>
  <c r="Q23" i="12" s="1"/>
  <c r="A8" i="19"/>
  <c r="A16" i="19" l="1"/>
  <c r="A17" i="19" s="1"/>
  <c r="A18" i="19" s="1"/>
  <c r="A19" i="19" s="1"/>
  <c r="A20" i="19" s="1"/>
  <c r="A21" i="19" s="1"/>
  <c r="A22" i="19" s="1"/>
  <c r="A23" i="19" s="1"/>
  <c r="Y23" i="12" s="1"/>
  <c r="A9" i="19"/>
  <c r="A10" i="19" s="1"/>
  <c r="A11" i="19" s="1"/>
  <c r="A12" i="19" s="1"/>
  <c r="A13" i="19" s="1"/>
  <c r="A14" i="19" s="1"/>
  <c r="A15" i="19" s="1"/>
  <c r="P8" i="19"/>
  <c r="P13" i="19"/>
  <c r="F23" i="19"/>
  <c r="D23" i="12" s="1"/>
  <c r="P9" i="19"/>
  <c r="K23" i="19"/>
  <c r="I23" i="12" s="1"/>
  <c r="P12" i="19"/>
  <c r="P15" i="19"/>
  <c r="L11" i="19"/>
  <c r="L10" i="19"/>
  <c r="L14" i="19"/>
  <c r="P7" i="19"/>
  <c r="P11" i="19" l="1"/>
  <c r="L23" i="19"/>
  <c r="J23" i="12" s="1"/>
  <c r="P10" i="19"/>
  <c r="P14" i="19"/>
  <c r="M14" i="19" s="1"/>
  <c r="O14" i="19" s="1"/>
  <c r="M13" i="19"/>
  <c r="M11" i="19"/>
  <c r="T11" i="19" s="1"/>
  <c r="U11" i="19" s="1"/>
  <c r="M10" i="19"/>
  <c r="O10" i="19" s="1"/>
  <c r="M15" i="19"/>
  <c r="O15" i="19" s="1"/>
  <c r="M8" i="19"/>
  <c r="O8" i="19" s="1"/>
  <c r="M9" i="19"/>
  <c r="O9" i="19" s="1"/>
  <c r="M7" i="19"/>
  <c r="O7" i="19" s="1"/>
  <c r="M12" i="19"/>
  <c r="O12" i="19" s="1"/>
  <c r="T7" i="19" l="1"/>
  <c r="P23" i="19"/>
  <c r="N23" i="12" s="1"/>
  <c r="O11" i="19"/>
  <c r="T13" i="19"/>
  <c r="U13" i="19" s="1"/>
  <c r="V13" i="19" s="1"/>
  <c r="O13" i="19"/>
  <c r="T14" i="19"/>
  <c r="U14" i="19" s="1"/>
  <c r="V14" i="19" s="1"/>
  <c r="T8" i="19"/>
  <c r="U8" i="19" s="1"/>
  <c r="V8" i="19" s="1"/>
  <c r="T15" i="19"/>
  <c r="U15" i="19" s="1"/>
  <c r="V15" i="19" s="1"/>
  <c r="T9" i="19"/>
  <c r="T10" i="19"/>
  <c r="U10" i="19" s="1"/>
  <c r="V10" i="19" s="1"/>
  <c r="T12" i="19"/>
  <c r="U12" i="19" s="1"/>
  <c r="V12" i="19" s="1"/>
  <c r="V11" i="19"/>
  <c r="M23" i="19"/>
  <c r="K23" i="12" s="1"/>
  <c r="U7" i="19" l="1"/>
  <c r="O23" i="19"/>
  <c r="M23" i="12" s="1"/>
  <c r="T23" i="19"/>
  <c r="R23" i="12" s="1"/>
  <c r="V7" i="19" l="1"/>
  <c r="U23" i="19"/>
  <c r="S23" i="12" s="1"/>
  <c r="V23" i="19" l="1"/>
  <c r="T23" i="12" s="1"/>
  <c r="Y40" i="18" l="1"/>
  <c r="Y42" i="18" s="1"/>
  <c r="W15" i="12" s="1"/>
  <c r="X40" i="18"/>
  <c r="X42" i="18" s="1"/>
  <c r="V15" i="12" s="1"/>
  <c r="V40" i="18"/>
  <c r="V42" i="18" s="1"/>
  <c r="T15" i="12" s="1"/>
  <c r="R40" i="18"/>
  <c r="R42" i="18" s="1"/>
  <c r="P15" i="12" s="1"/>
  <c r="Q40" i="18"/>
  <c r="Q42" i="18" s="1"/>
  <c r="O15" i="12" s="1"/>
  <c r="N40" i="18"/>
  <c r="N42" i="18" s="1"/>
  <c r="L15" i="12" s="1"/>
  <c r="J40" i="18"/>
  <c r="J42" i="18" s="1"/>
  <c r="H15" i="12" s="1"/>
  <c r="I40" i="18"/>
  <c r="I42" i="18" s="1"/>
  <c r="G15" i="12" s="1"/>
  <c r="H40" i="18"/>
  <c r="H42" i="18" s="1"/>
  <c r="F15" i="12" s="1"/>
  <c r="G40" i="18"/>
  <c r="G42" i="18" s="1"/>
  <c r="E15" i="12" s="1"/>
  <c r="E40" i="18"/>
  <c r="E42" i="18" s="1"/>
  <c r="C15" i="12" s="1"/>
  <c r="F39" i="18"/>
  <c r="S38" i="18"/>
  <c r="K38" i="18"/>
  <c r="L38" i="18" s="1"/>
  <c r="F38" i="18"/>
  <c r="S37" i="18"/>
  <c r="K37" i="18"/>
  <c r="L37" i="18" s="1"/>
  <c r="P37" i="18" s="1"/>
  <c r="F37" i="18"/>
  <c r="S36" i="18"/>
  <c r="K36" i="18"/>
  <c r="L36" i="18" s="1"/>
  <c r="P36" i="18" s="1"/>
  <c r="D36" i="18"/>
  <c r="S35" i="18"/>
  <c r="K35" i="18"/>
  <c r="L35" i="18" s="1"/>
  <c r="P35" i="18" s="1"/>
  <c r="F35" i="18"/>
  <c r="S34" i="18"/>
  <c r="K34" i="18"/>
  <c r="L34" i="18" s="1"/>
  <c r="F34" i="18"/>
  <c r="S33" i="18"/>
  <c r="K33" i="18"/>
  <c r="L33" i="18" s="1"/>
  <c r="F33" i="18"/>
  <c r="S32" i="18"/>
  <c r="K32" i="18"/>
  <c r="L32" i="18" s="1"/>
  <c r="P32" i="18" s="1"/>
  <c r="F32" i="18"/>
  <c r="S31" i="18"/>
  <c r="K31" i="18"/>
  <c r="L31" i="18" s="1"/>
  <c r="F31" i="18"/>
  <c r="S30" i="18"/>
  <c r="K30" i="18"/>
  <c r="L30" i="18" s="1"/>
  <c r="P30" i="18" s="1"/>
  <c r="F30" i="18"/>
  <c r="U29" i="18"/>
  <c r="W29" i="18" s="1"/>
  <c r="S29" i="18"/>
  <c r="K29" i="18"/>
  <c r="L29" i="18" s="1"/>
  <c r="F29" i="18"/>
  <c r="S28" i="18"/>
  <c r="K28" i="18"/>
  <c r="F28" i="18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M30" i="18" l="1"/>
  <c r="O30" i="18" s="1"/>
  <c r="M32" i="18"/>
  <c r="O32" i="18" s="1"/>
  <c r="M37" i="18"/>
  <c r="O37" i="18" s="1"/>
  <c r="A40" i="18"/>
  <c r="A42" i="18" s="1"/>
  <c r="Y15" i="12" s="1"/>
  <c r="R50" i="18"/>
  <c r="M35" i="18"/>
  <c r="T35" i="18" s="1"/>
  <c r="U35" i="18" s="1"/>
  <c r="W35" i="18" s="1"/>
  <c r="S40" i="18"/>
  <c r="S42" i="18" s="1"/>
  <c r="Q15" i="12" s="1"/>
  <c r="M36" i="18"/>
  <c r="T36" i="18" s="1"/>
  <c r="U36" i="18" s="1"/>
  <c r="W36" i="18" s="1"/>
  <c r="K40" i="18"/>
  <c r="K42" i="18" s="1"/>
  <c r="I15" i="12" s="1"/>
  <c r="P31" i="18"/>
  <c r="P33" i="18"/>
  <c r="P38" i="18"/>
  <c r="D40" i="18"/>
  <c r="D42" i="18" s="1"/>
  <c r="B15" i="12" s="1"/>
  <c r="F36" i="18"/>
  <c r="F40" i="18" s="1"/>
  <c r="F42" i="18" s="1"/>
  <c r="D15" i="12" s="1"/>
  <c r="P29" i="18"/>
  <c r="M29" i="18" s="1"/>
  <c r="O29" i="18" s="1"/>
  <c r="P34" i="18"/>
  <c r="L28" i="18"/>
  <c r="T37" i="18" l="1"/>
  <c r="U37" i="18" s="1"/>
  <c r="W37" i="18" s="1"/>
  <c r="T30" i="18"/>
  <c r="T32" i="18"/>
  <c r="U32" i="18" s="1"/>
  <c r="W32" i="18" s="1"/>
  <c r="O35" i="18"/>
  <c r="O36" i="18"/>
  <c r="M34" i="18"/>
  <c r="O34" i="18" s="1"/>
  <c r="M33" i="18"/>
  <c r="O33" i="18" s="1"/>
  <c r="M31" i="18"/>
  <c r="O31" i="18" s="1"/>
  <c r="P28" i="18"/>
  <c r="L40" i="18"/>
  <c r="L42" i="18" s="1"/>
  <c r="J15" i="12" s="1"/>
  <c r="M38" i="18"/>
  <c r="O38" i="18" s="1"/>
  <c r="U30" i="18" l="1"/>
  <c r="W30" i="18" s="1"/>
  <c r="T38" i="18"/>
  <c r="T33" i="18"/>
  <c r="U33" i="18" s="1"/>
  <c r="W33" i="18" s="1"/>
  <c r="T34" i="18"/>
  <c r="U34" i="18" s="1"/>
  <c r="W34" i="18" s="1"/>
  <c r="M28" i="18"/>
  <c r="P40" i="18"/>
  <c r="P42" i="18" s="1"/>
  <c r="N15" i="12" s="1"/>
  <c r="T31" i="18"/>
  <c r="U31" i="18" l="1"/>
  <c r="W31" i="18" s="1"/>
  <c r="U38" i="18"/>
  <c r="W38" i="18" s="1"/>
  <c r="M40" i="18"/>
  <c r="M42" i="18" s="1"/>
  <c r="K15" i="12" s="1"/>
  <c r="O28" i="18"/>
  <c r="O40" i="18" s="1"/>
  <c r="O42" i="18" s="1"/>
  <c r="M15" i="12" s="1"/>
  <c r="T28" i="18"/>
  <c r="T40" i="18" l="1"/>
  <c r="T42" i="18" s="1"/>
  <c r="R15" i="12" s="1"/>
  <c r="U28" i="18"/>
  <c r="U40" i="18" l="1"/>
  <c r="U42" i="18" s="1"/>
  <c r="S15" i="12" s="1"/>
  <c r="W28" i="18"/>
  <c r="W40" i="18" s="1"/>
  <c r="W42" i="18" s="1"/>
  <c r="U15" i="12" s="1"/>
  <c r="AD79" i="17" l="1"/>
  <c r="AA79" i="17"/>
  <c r="Z79" i="17"/>
  <c r="Y79" i="17"/>
  <c r="X79" i="17"/>
  <c r="R79" i="17"/>
  <c r="P11" i="12" s="1"/>
  <c r="Q79" i="17"/>
  <c r="O11" i="12" s="1"/>
  <c r="J79" i="17"/>
  <c r="H11" i="12" s="1"/>
  <c r="I79" i="17"/>
  <c r="G11" i="12" s="1"/>
  <c r="H79" i="17"/>
  <c r="F11" i="12" s="1"/>
  <c r="G79" i="17"/>
  <c r="E11" i="12" s="1"/>
  <c r="E79" i="17"/>
  <c r="C11" i="12" s="1"/>
  <c r="W72" i="17"/>
  <c r="O72" i="17"/>
  <c r="F72" i="17"/>
  <c r="W71" i="17"/>
  <c r="O71" i="17"/>
  <c r="F71" i="17"/>
  <c r="W78" i="17"/>
  <c r="O78" i="17"/>
  <c r="F78" i="17"/>
  <c r="W70" i="17"/>
  <c r="O70" i="17"/>
  <c r="F70" i="17"/>
  <c r="W77" i="17"/>
  <c r="O77" i="17"/>
  <c r="F77" i="17"/>
  <c r="W69" i="17"/>
  <c r="O69" i="17"/>
  <c r="F69" i="17"/>
  <c r="W76" i="17"/>
  <c r="O76" i="17"/>
  <c r="F76" i="17"/>
  <c r="S68" i="17"/>
  <c r="K68" i="17"/>
  <c r="L68" i="17" s="1"/>
  <c r="F68" i="17"/>
  <c r="S64" i="17"/>
  <c r="K64" i="17"/>
  <c r="L64" i="17" s="1"/>
  <c r="P64" i="17" s="1"/>
  <c r="F64" i="17"/>
  <c r="S61" i="17"/>
  <c r="K61" i="17"/>
  <c r="L61" i="17" s="1"/>
  <c r="F61" i="17"/>
  <c r="V37" i="17"/>
  <c r="V79" i="17" s="1"/>
  <c r="S37" i="17"/>
  <c r="N37" i="17"/>
  <c r="K37" i="17"/>
  <c r="L37" i="17" s="1"/>
  <c r="D37" i="17"/>
  <c r="F37" i="17" s="1"/>
  <c r="S33" i="17"/>
  <c r="K33" i="17"/>
  <c r="L33" i="17" s="1"/>
  <c r="D33" i="17"/>
  <c r="F33" i="17" s="1"/>
  <c r="S30" i="17"/>
  <c r="K30" i="17"/>
  <c r="L30" i="17" s="1"/>
  <c r="P30" i="17" s="1"/>
  <c r="F30" i="17"/>
  <c r="S29" i="17"/>
  <c r="K29" i="17"/>
  <c r="L29" i="17" s="1"/>
  <c r="F29" i="17"/>
  <c r="S28" i="17"/>
  <c r="K28" i="17"/>
  <c r="L28" i="17" s="1"/>
  <c r="D28" i="17"/>
  <c r="F28" i="17" s="1"/>
  <c r="S27" i="17"/>
  <c r="K27" i="17"/>
  <c r="L27" i="17" s="1"/>
  <c r="P27" i="17" s="1"/>
  <c r="F27" i="17"/>
  <c r="S26" i="17"/>
  <c r="K26" i="17"/>
  <c r="L26" i="17" s="1"/>
  <c r="F26" i="17"/>
  <c r="S25" i="17"/>
  <c r="K25" i="17"/>
  <c r="L25" i="17" s="1"/>
  <c r="P25" i="17" s="1"/>
  <c r="F25" i="17"/>
  <c r="S24" i="17"/>
  <c r="K24" i="17"/>
  <c r="L24" i="17" s="1"/>
  <c r="F24" i="17"/>
  <c r="S23" i="17"/>
  <c r="K23" i="17"/>
  <c r="L23" i="17" s="1"/>
  <c r="F23" i="17"/>
  <c r="S22" i="17"/>
  <c r="K22" i="17"/>
  <c r="L22" i="17" s="1"/>
  <c r="F22" i="17"/>
  <c r="S21" i="17"/>
  <c r="K21" i="17"/>
  <c r="L21" i="17" s="1"/>
  <c r="F21" i="17"/>
  <c r="S20" i="17"/>
  <c r="K20" i="17"/>
  <c r="L20" i="17" s="1"/>
  <c r="F20" i="17"/>
  <c r="S18" i="17"/>
  <c r="K18" i="17"/>
  <c r="L18" i="17" s="1"/>
  <c r="D18" i="17"/>
  <c r="F18" i="17" s="1"/>
  <c r="S17" i="17"/>
  <c r="K17" i="17"/>
  <c r="L17" i="17" s="1"/>
  <c r="P17" i="17" s="1"/>
  <c r="D17" i="17"/>
  <c r="F17" i="17" s="1"/>
  <c r="S16" i="17"/>
  <c r="K16" i="17"/>
  <c r="L16" i="17" s="1"/>
  <c r="P16" i="17" s="1"/>
  <c r="F16" i="17"/>
  <c r="S8" i="17"/>
  <c r="K8" i="17"/>
  <c r="L8" i="17" s="1"/>
  <c r="D8" i="17"/>
  <c r="F8" i="17" s="1"/>
  <c r="S7" i="17"/>
  <c r="K7" i="17"/>
  <c r="F7" i="17"/>
  <c r="T58" i="15"/>
  <c r="U58" i="15" s="1"/>
  <c r="O58" i="15"/>
  <c r="AE55" i="15"/>
  <c r="AD55" i="15"/>
  <c r="AC55" i="15"/>
  <c r="AA55" i="15"/>
  <c r="Z55" i="15"/>
  <c r="Y55" i="15"/>
  <c r="X55" i="15"/>
  <c r="V9" i="12" s="1"/>
  <c r="W55" i="15"/>
  <c r="R55" i="15"/>
  <c r="P9" i="12" s="1"/>
  <c r="J55" i="15"/>
  <c r="H9" i="12" s="1"/>
  <c r="I55" i="15"/>
  <c r="G9" i="12" s="1"/>
  <c r="H55" i="15"/>
  <c r="F9" i="12" s="1"/>
  <c r="E55" i="15"/>
  <c r="C9" i="12" s="1"/>
  <c r="U54" i="15"/>
  <c r="V54" i="15" s="1"/>
  <c r="M54" i="15"/>
  <c r="K54" i="15"/>
  <c r="L54" i="15" s="1"/>
  <c r="F54" i="15"/>
  <c r="S48" i="15"/>
  <c r="K48" i="15"/>
  <c r="L48" i="15" s="1"/>
  <c r="P48" i="15" s="1"/>
  <c r="D48" i="15"/>
  <c r="F48" i="15" s="1"/>
  <c r="S46" i="15"/>
  <c r="K46" i="15"/>
  <c r="L46" i="15" s="1"/>
  <c r="P46" i="15" s="1"/>
  <c r="F46" i="15"/>
  <c r="S45" i="15"/>
  <c r="K45" i="15"/>
  <c r="L45" i="15" s="1"/>
  <c r="P45" i="15" s="1"/>
  <c r="F45" i="15"/>
  <c r="S44" i="15"/>
  <c r="K44" i="15"/>
  <c r="L44" i="15" s="1"/>
  <c r="F44" i="15"/>
  <c r="S43" i="15"/>
  <c r="K43" i="15"/>
  <c r="L43" i="15" s="1"/>
  <c r="F43" i="15"/>
  <c r="S27" i="15"/>
  <c r="K27" i="15"/>
  <c r="L27" i="15" s="1"/>
  <c r="P27" i="15" s="1"/>
  <c r="F27" i="15"/>
  <c r="S24" i="15"/>
  <c r="K24" i="15"/>
  <c r="L24" i="15" s="1"/>
  <c r="F24" i="15"/>
  <c r="Q23" i="15"/>
  <c r="S23" i="15" s="1"/>
  <c r="K23" i="15"/>
  <c r="L23" i="15" s="1"/>
  <c r="G23" i="15"/>
  <c r="D23" i="15"/>
  <c r="S19" i="15"/>
  <c r="K19" i="15"/>
  <c r="L19" i="15" s="1"/>
  <c r="P19" i="15" s="1"/>
  <c r="D19" i="15"/>
  <c r="F19" i="15" s="1"/>
  <c r="S18" i="15"/>
  <c r="K18" i="15"/>
  <c r="L18" i="15" s="1"/>
  <c r="P18" i="15" s="1"/>
  <c r="D18" i="15"/>
  <c r="F18" i="15" s="1"/>
  <c r="S16" i="15"/>
  <c r="K16" i="15"/>
  <c r="L16" i="15" s="1"/>
  <c r="P16" i="15" s="1"/>
  <c r="F16" i="15"/>
  <c r="S14" i="15"/>
  <c r="K14" i="15"/>
  <c r="L14" i="15" s="1"/>
  <c r="P14" i="15" s="1"/>
  <c r="D14" i="15"/>
  <c r="S12" i="15"/>
  <c r="K12" i="15"/>
  <c r="L12" i="15" s="1"/>
  <c r="F12" i="15"/>
  <c r="Q11" i="15"/>
  <c r="K11" i="15"/>
  <c r="L11" i="15" s="1"/>
  <c r="F11" i="15"/>
  <c r="S9" i="15"/>
  <c r="K9" i="15"/>
  <c r="G9" i="15"/>
  <c r="F9" i="15"/>
  <c r="S7" i="15"/>
  <c r="K7" i="15"/>
  <c r="L7" i="15" s="1"/>
  <c r="F7" i="15"/>
  <c r="S6" i="15"/>
  <c r="N6" i="15"/>
  <c r="N55" i="15" s="1"/>
  <c r="L9" i="12" s="1"/>
  <c r="K6" i="15"/>
  <c r="L6" i="15" s="1"/>
  <c r="P6" i="15" s="1"/>
  <c r="D6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W11" i="12" l="1"/>
  <c r="T11" i="12"/>
  <c r="U9" i="12"/>
  <c r="W9" i="12"/>
  <c r="V11" i="12"/>
  <c r="A55" i="15"/>
  <c r="Y9" i="12" s="1"/>
  <c r="M19" i="15"/>
  <c r="O19" i="15" s="1"/>
  <c r="G55" i="15"/>
  <c r="E9" i="12" s="1"/>
  <c r="AF54" i="15"/>
  <c r="M45" i="15"/>
  <c r="O45" i="15" s="1"/>
  <c r="M18" i="15"/>
  <c r="T18" i="15" s="1"/>
  <c r="U18" i="15" s="1"/>
  <c r="V18" i="15" s="1"/>
  <c r="S11" i="15"/>
  <c r="S55" i="15" s="1"/>
  <c r="Q9" i="12" s="1"/>
  <c r="M27" i="15"/>
  <c r="O27" i="15" s="1"/>
  <c r="K55" i="15"/>
  <c r="I9" i="12" s="1"/>
  <c r="M16" i="15"/>
  <c r="O16" i="15" s="1"/>
  <c r="M16" i="17"/>
  <c r="O16" i="17" s="1"/>
  <c r="P68" i="17"/>
  <c r="F79" i="17"/>
  <c r="D11" i="12" s="1"/>
  <c r="M17" i="17"/>
  <c r="T17" i="17" s="1"/>
  <c r="P18" i="17"/>
  <c r="P26" i="17"/>
  <c r="P28" i="17"/>
  <c r="P29" i="17"/>
  <c r="P33" i="17"/>
  <c r="P8" i="17"/>
  <c r="P24" i="17"/>
  <c r="P21" i="17"/>
  <c r="P61" i="17"/>
  <c r="K79" i="17"/>
  <c r="I11" i="12" s="1"/>
  <c r="L7" i="17"/>
  <c r="S79" i="17"/>
  <c r="Q11" i="12" s="1"/>
  <c r="P20" i="17"/>
  <c r="P22" i="17"/>
  <c r="P23" i="17"/>
  <c r="M27" i="17"/>
  <c r="O27" i="17" s="1"/>
  <c r="M30" i="17"/>
  <c r="O30" i="17" s="1"/>
  <c r="P37" i="17"/>
  <c r="M64" i="17"/>
  <c r="O64" i="17" s="1"/>
  <c r="D79" i="17"/>
  <c r="N79" i="17"/>
  <c r="L11" i="12" s="1"/>
  <c r="M25" i="17"/>
  <c r="O25" i="17" s="1"/>
  <c r="M6" i="15"/>
  <c r="P7" i="15"/>
  <c r="P43" i="15"/>
  <c r="P24" i="15"/>
  <c r="M46" i="15"/>
  <c r="O46" i="15" s="1"/>
  <c r="M48" i="15"/>
  <c r="O48" i="15" s="1"/>
  <c r="O54" i="15"/>
  <c r="D55" i="15"/>
  <c r="L9" i="15"/>
  <c r="L55" i="15" s="1"/>
  <c r="J9" i="12" s="1"/>
  <c r="P11" i="15"/>
  <c r="P12" i="15"/>
  <c r="M14" i="15"/>
  <c r="T14" i="15" s="1"/>
  <c r="U14" i="15" s="1"/>
  <c r="V14" i="15" s="1"/>
  <c r="F23" i="15"/>
  <c r="P44" i="15"/>
  <c r="F6" i="15"/>
  <c r="F14" i="15"/>
  <c r="P23" i="15"/>
  <c r="Q55" i="15"/>
  <c r="O9" i="12" s="1"/>
  <c r="O17" i="17" l="1"/>
  <c r="T19" i="15"/>
  <c r="U19" i="15" s="1"/>
  <c r="V19" i="15" s="1"/>
  <c r="T16" i="17"/>
  <c r="U16" i="17" s="1"/>
  <c r="W16" i="17" s="1"/>
  <c r="B11" i="12"/>
  <c r="U17" i="17"/>
  <c r="W17" i="17" s="1"/>
  <c r="T25" i="17"/>
  <c r="T16" i="15"/>
  <c r="U16" i="15" s="1"/>
  <c r="V16" i="15" s="1"/>
  <c r="T45" i="15"/>
  <c r="U45" i="15" s="1"/>
  <c r="V45" i="15" s="1"/>
  <c r="O18" i="15"/>
  <c r="T27" i="15"/>
  <c r="U27" i="15" s="1"/>
  <c r="V27" i="15" s="1"/>
  <c r="B9" i="12"/>
  <c r="T64" i="17"/>
  <c r="O14" i="15"/>
  <c r="T46" i="15"/>
  <c r="U46" i="15" s="1"/>
  <c r="V46" i="15" s="1"/>
  <c r="M20" i="17"/>
  <c r="O20" i="17" s="1"/>
  <c r="M24" i="17"/>
  <c r="O24" i="17" s="1"/>
  <c r="M33" i="17"/>
  <c r="O33" i="17" s="1"/>
  <c r="M18" i="17"/>
  <c r="O18" i="17" s="1"/>
  <c r="M68" i="17"/>
  <c r="O68" i="17" s="1"/>
  <c r="M23" i="17"/>
  <c r="O23" i="17" s="1"/>
  <c r="L79" i="17"/>
  <c r="J11" i="12" s="1"/>
  <c r="P7" i="17"/>
  <c r="M37" i="17"/>
  <c r="O37" i="17" s="1"/>
  <c r="M22" i="17"/>
  <c r="O22" i="17" s="1"/>
  <c r="M21" i="17"/>
  <c r="O21" i="17" s="1"/>
  <c r="M8" i="17"/>
  <c r="O8" i="17" s="1"/>
  <c r="M29" i="17"/>
  <c r="O29" i="17" s="1"/>
  <c r="T27" i="17"/>
  <c r="M61" i="17"/>
  <c r="O61" i="17" s="1"/>
  <c r="M26" i="17"/>
  <c r="O26" i="17" s="1"/>
  <c r="M28" i="17"/>
  <c r="O28" i="17" s="1"/>
  <c r="T30" i="17"/>
  <c r="M23" i="15"/>
  <c r="O23" i="15" s="1"/>
  <c r="M11" i="15"/>
  <c r="O11" i="15" s="1"/>
  <c r="M24" i="15"/>
  <c r="O24" i="15" s="1"/>
  <c r="T48" i="15"/>
  <c r="U48" i="15" s="1"/>
  <c r="V48" i="15" s="1"/>
  <c r="O6" i="15"/>
  <c r="F55" i="15"/>
  <c r="D9" i="12" s="1"/>
  <c r="M44" i="15"/>
  <c r="O44" i="15" s="1"/>
  <c r="M12" i="15"/>
  <c r="O12" i="15" s="1"/>
  <c r="P9" i="15"/>
  <c r="P55" i="15" s="1"/>
  <c r="N9" i="12" s="1"/>
  <c r="M43" i="15"/>
  <c r="O43" i="15" s="1"/>
  <c r="T6" i="15"/>
  <c r="M7" i="15"/>
  <c r="O7" i="15" s="1"/>
  <c r="T23" i="17" l="1"/>
  <c r="U23" i="17" s="1"/>
  <c r="W23" i="17" s="1"/>
  <c r="T26" i="17"/>
  <c r="U26" i="17" s="1"/>
  <c r="W26" i="17" s="1"/>
  <c r="T61" i="17"/>
  <c r="U61" i="17" s="1"/>
  <c r="W61" i="17" s="1"/>
  <c r="T33" i="17"/>
  <c r="U33" i="17" s="1"/>
  <c r="W33" i="17" s="1"/>
  <c r="U25" i="17"/>
  <c r="W25" i="17" s="1"/>
  <c r="U30" i="17"/>
  <c r="W30" i="17" s="1"/>
  <c r="U64" i="17"/>
  <c r="W64" i="17" s="1"/>
  <c r="T28" i="17"/>
  <c r="U27" i="17"/>
  <c r="W27" i="17" s="1"/>
  <c r="T37" i="17"/>
  <c r="T24" i="17"/>
  <c r="T43" i="15"/>
  <c r="U43" i="15" s="1"/>
  <c r="V43" i="15" s="1"/>
  <c r="T23" i="15"/>
  <c r="U23" i="15" s="1"/>
  <c r="V23" i="15" s="1"/>
  <c r="T11" i="15"/>
  <c r="U11" i="15" s="1"/>
  <c r="V11" i="15" s="1"/>
  <c r="T8" i="17"/>
  <c r="T22" i="17"/>
  <c r="T12" i="15"/>
  <c r="U12" i="15" s="1"/>
  <c r="V12" i="15" s="1"/>
  <c r="T18" i="17"/>
  <c r="T68" i="17"/>
  <c r="P79" i="17"/>
  <c r="N11" i="12" s="1"/>
  <c r="M7" i="17"/>
  <c r="T7" i="17" s="1"/>
  <c r="T29" i="17"/>
  <c r="T21" i="17"/>
  <c r="T20" i="17"/>
  <c r="T44" i="15"/>
  <c r="U44" i="15" s="1"/>
  <c r="V44" i="15" s="1"/>
  <c r="U6" i="15"/>
  <c r="T24" i="15"/>
  <c r="U24" i="15" s="1"/>
  <c r="V24" i="15" s="1"/>
  <c r="T7" i="15"/>
  <c r="U7" i="15" s="1"/>
  <c r="V7" i="15" s="1"/>
  <c r="M9" i="15"/>
  <c r="O9" i="15" s="1"/>
  <c r="O55" i="15" s="1"/>
  <c r="M9" i="12" s="1"/>
  <c r="U21" i="17" l="1"/>
  <c r="W21" i="17" s="1"/>
  <c r="U8" i="17"/>
  <c r="W8" i="17" s="1"/>
  <c r="U29" i="17"/>
  <c r="W29" i="17" s="1"/>
  <c r="U68" i="17"/>
  <c r="W68" i="17" s="1"/>
  <c r="U18" i="17"/>
  <c r="W18" i="17" s="1"/>
  <c r="U24" i="17"/>
  <c r="W24" i="17" s="1"/>
  <c r="U22" i="17"/>
  <c r="W22" i="17" s="1"/>
  <c r="U20" i="17"/>
  <c r="W20" i="17" s="1"/>
  <c r="U37" i="17"/>
  <c r="W37" i="17" s="1"/>
  <c r="U28" i="17"/>
  <c r="W28" i="17" s="1"/>
  <c r="T9" i="15"/>
  <c r="U9" i="15" s="1"/>
  <c r="V9" i="15" s="1"/>
  <c r="M55" i="15"/>
  <c r="K9" i="12" s="1"/>
  <c r="U7" i="17"/>
  <c r="T79" i="17"/>
  <c r="R11" i="12" s="1"/>
  <c r="M79" i="17"/>
  <c r="K11" i="12" s="1"/>
  <c r="O7" i="17"/>
  <c r="O79" i="17" s="1"/>
  <c r="M11" i="12" s="1"/>
  <c r="V6" i="15"/>
  <c r="T55" i="15" l="1"/>
  <c r="R9" i="12" s="1"/>
  <c r="V55" i="15"/>
  <c r="U55" i="15"/>
  <c r="U79" i="17"/>
  <c r="W7" i="17"/>
  <c r="W79" i="17" s="1"/>
  <c r="S9" i="12" l="1"/>
  <c r="W60" i="15"/>
  <c r="Y60" i="15"/>
  <c r="S11" i="12"/>
  <c r="Y84" i="17"/>
  <c r="X84" i="17"/>
  <c r="V84" i="17"/>
  <c r="T9" i="12"/>
  <c r="V60" i="15"/>
  <c r="U11" i="12"/>
  <c r="W84" i="17"/>
  <c r="Y57" i="14"/>
  <c r="Y78" i="14" s="1"/>
  <c r="AB84" i="17" l="1"/>
  <c r="U60" i="15"/>
  <c r="U173" i="14"/>
  <c r="V173" i="14" s="1"/>
  <c r="U174" i="14"/>
  <c r="V174" i="14" s="1"/>
  <c r="Q14" i="14" l="1"/>
  <c r="Q8" i="14"/>
  <c r="Y153" i="14"/>
  <c r="X153" i="14"/>
  <c r="W153" i="14"/>
  <c r="E153" i="14"/>
  <c r="G153" i="14"/>
  <c r="H153" i="14"/>
  <c r="I153" i="14"/>
  <c r="J153" i="14"/>
  <c r="N153" i="14"/>
  <c r="Q153" i="14"/>
  <c r="R153" i="14"/>
  <c r="D153" i="14"/>
  <c r="E175" i="14"/>
  <c r="G175" i="14"/>
  <c r="H175" i="14"/>
  <c r="I175" i="14"/>
  <c r="J175" i="14"/>
  <c r="N175" i="14"/>
  <c r="Q175" i="14"/>
  <c r="R175" i="14"/>
  <c r="W175" i="14"/>
  <c r="X175" i="14"/>
  <c r="Y175" i="14"/>
  <c r="AA175" i="14"/>
  <c r="AC175" i="14"/>
  <c r="D175" i="14"/>
  <c r="S157" i="14"/>
  <c r="K157" i="14"/>
  <c r="L157" i="14" s="1"/>
  <c r="P157" i="14" s="1"/>
  <c r="F157" i="14"/>
  <c r="S156" i="14"/>
  <c r="K156" i="14"/>
  <c r="L156" i="14" s="1"/>
  <c r="F156" i="14"/>
  <c r="U152" i="14"/>
  <c r="V152" i="14" s="1"/>
  <c r="O152" i="14"/>
  <c r="F152" i="14"/>
  <c r="U148" i="14"/>
  <c r="V148" i="14" s="1"/>
  <c r="U149" i="14"/>
  <c r="V149" i="14" s="1"/>
  <c r="U150" i="14"/>
  <c r="V150" i="14" s="1"/>
  <c r="U151" i="14"/>
  <c r="V151" i="14" s="1"/>
  <c r="S132" i="14"/>
  <c r="K132" i="14"/>
  <c r="L132" i="14" s="1"/>
  <c r="P132" i="14" s="1"/>
  <c r="F132" i="14"/>
  <c r="S84" i="14"/>
  <c r="K84" i="14"/>
  <c r="L84" i="14" s="1"/>
  <c r="P84" i="14" s="1"/>
  <c r="F84" i="14"/>
  <c r="AA103" i="14"/>
  <c r="D103" i="14"/>
  <c r="N177" i="14" l="1"/>
  <c r="L7" i="12" s="1"/>
  <c r="G177" i="14"/>
  <c r="E7" i="12" s="1"/>
  <c r="X177" i="14"/>
  <c r="V7" i="12" s="1"/>
  <c r="R177" i="14"/>
  <c r="P7" i="12" s="1"/>
  <c r="I177" i="14"/>
  <c r="G7" i="12" s="1"/>
  <c r="A26" i="14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J177" i="14"/>
  <c r="H7" i="12" s="1"/>
  <c r="E177" i="14"/>
  <c r="C7" i="12" s="1"/>
  <c r="Y177" i="14"/>
  <c r="W7" i="12" s="1"/>
  <c r="H177" i="14"/>
  <c r="F7" i="12" s="1"/>
  <c r="W177" i="14"/>
  <c r="U7" i="12" s="1"/>
  <c r="Q16" i="14"/>
  <c r="Q177" i="14" s="1"/>
  <c r="O7" i="12" s="1"/>
  <c r="M157" i="14"/>
  <c r="T157" i="14" s="1"/>
  <c r="U157" i="14" s="1"/>
  <c r="V157" i="14" s="1"/>
  <c r="AA177" i="14"/>
  <c r="P156" i="14"/>
  <c r="M132" i="14"/>
  <c r="M84" i="14"/>
  <c r="T84" i="14" s="1"/>
  <c r="U84" i="14" s="1"/>
  <c r="V84" i="14" s="1"/>
  <c r="D78" i="14"/>
  <c r="P215" i="14"/>
  <c r="Q199" i="14"/>
  <c r="Q201" i="14" s="1"/>
  <c r="O174" i="14"/>
  <c r="F174" i="14"/>
  <c r="O173" i="14"/>
  <c r="F173" i="14"/>
  <c r="S169" i="14"/>
  <c r="K169" i="14"/>
  <c r="L169" i="14" s="1"/>
  <c r="F169" i="14"/>
  <c r="S168" i="14"/>
  <c r="K168" i="14"/>
  <c r="L168" i="14" s="1"/>
  <c r="P168" i="14" s="1"/>
  <c r="F168" i="14"/>
  <c r="S167" i="14"/>
  <c r="K167" i="14"/>
  <c r="L167" i="14" s="1"/>
  <c r="F167" i="14"/>
  <c r="S162" i="14"/>
  <c r="K162" i="14"/>
  <c r="L162" i="14" s="1"/>
  <c r="F162" i="14"/>
  <c r="O151" i="14"/>
  <c r="F151" i="14"/>
  <c r="O150" i="14"/>
  <c r="F150" i="14"/>
  <c r="O149" i="14"/>
  <c r="F149" i="14"/>
  <c r="O148" i="14"/>
  <c r="F148" i="14"/>
  <c r="S147" i="14"/>
  <c r="K147" i="14"/>
  <c r="L147" i="14" s="1"/>
  <c r="P147" i="14" s="1"/>
  <c r="F147" i="14"/>
  <c r="S146" i="14"/>
  <c r="K146" i="14"/>
  <c r="L146" i="14" s="1"/>
  <c r="P146" i="14" s="1"/>
  <c r="F146" i="14"/>
  <c r="S140" i="14"/>
  <c r="K140" i="14"/>
  <c r="L140" i="14" s="1"/>
  <c r="P140" i="14" s="1"/>
  <c r="F140" i="14"/>
  <c r="S136" i="14"/>
  <c r="K136" i="14"/>
  <c r="L136" i="14" s="1"/>
  <c r="F136" i="14"/>
  <c r="S89" i="14"/>
  <c r="K89" i="14"/>
  <c r="L89" i="14" s="1"/>
  <c r="F89" i="14"/>
  <c r="U102" i="14"/>
  <c r="V102" i="14" s="1"/>
  <c r="O102" i="14"/>
  <c r="F102" i="14"/>
  <c r="U101" i="14"/>
  <c r="V101" i="14" s="1"/>
  <c r="S101" i="14"/>
  <c r="M101" i="14" s="1"/>
  <c r="O101" i="14" s="1"/>
  <c r="F101" i="14"/>
  <c r="S87" i="14"/>
  <c r="K87" i="14"/>
  <c r="L87" i="14" s="1"/>
  <c r="P87" i="14" s="1"/>
  <c r="F87" i="14"/>
  <c r="U98" i="14"/>
  <c r="V98" i="14" s="1"/>
  <c r="S98" i="14"/>
  <c r="M98" i="14" s="1"/>
  <c r="O98" i="14" s="1"/>
  <c r="F98" i="14"/>
  <c r="U96" i="14"/>
  <c r="V96" i="14" s="1"/>
  <c r="S96" i="14"/>
  <c r="M96" i="14" s="1"/>
  <c r="O96" i="14" s="1"/>
  <c r="F96" i="14"/>
  <c r="S88" i="14"/>
  <c r="K88" i="14"/>
  <c r="L88" i="14" s="1"/>
  <c r="P88" i="14" s="1"/>
  <c r="F88" i="14"/>
  <c r="S83" i="14"/>
  <c r="K83" i="14"/>
  <c r="F83" i="14"/>
  <c r="S61" i="14"/>
  <c r="K61" i="14"/>
  <c r="L61" i="14" s="1"/>
  <c r="F61" i="14"/>
  <c r="S59" i="14"/>
  <c r="K59" i="14"/>
  <c r="L59" i="14" s="1"/>
  <c r="P59" i="14" s="1"/>
  <c r="F59" i="14"/>
  <c r="K57" i="14"/>
  <c r="L57" i="14" s="1"/>
  <c r="P57" i="14" s="1"/>
  <c r="F57" i="14"/>
  <c r="S56" i="14"/>
  <c r="K56" i="14"/>
  <c r="L56" i="14" s="1"/>
  <c r="F56" i="14"/>
  <c r="S51" i="14"/>
  <c r="K51" i="14"/>
  <c r="F51" i="14"/>
  <c r="S20" i="14"/>
  <c r="S23" i="14" s="1"/>
  <c r="K20" i="14"/>
  <c r="K23" i="14" s="1"/>
  <c r="F20" i="14"/>
  <c r="F23" i="14" s="1"/>
  <c r="D16" i="14"/>
  <c r="S15" i="14"/>
  <c r="K15" i="14"/>
  <c r="L15" i="14" s="1"/>
  <c r="P15" i="14" s="1"/>
  <c r="F15" i="14"/>
  <c r="S14" i="14"/>
  <c r="K14" i="14"/>
  <c r="L14" i="14" s="1"/>
  <c r="F14" i="14"/>
  <c r="S13" i="14"/>
  <c r="K13" i="14"/>
  <c r="L13" i="14" s="1"/>
  <c r="P13" i="14" s="1"/>
  <c r="F13" i="14"/>
  <c r="S12" i="14"/>
  <c r="K12" i="14"/>
  <c r="L12" i="14" s="1"/>
  <c r="F12" i="14"/>
  <c r="S11" i="14"/>
  <c r="K11" i="14"/>
  <c r="L11" i="14" s="1"/>
  <c r="P11" i="14" s="1"/>
  <c r="F11" i="14"/>
  <c r="S10" i="14"/>
  <c r="K10" i="14"/>
  <c r="L10" i="14" s="1"/>
  <c r="P10" i="14" s="1"/>
  <c r="F10" i="14"/>
  <c r="S9" i="14"/>
  <c r="K9" i="14"/>
  <c r="L9" i="14" s="1"/>
  <c r="P9" i="14" s="1"/>
  <c r="F9" i="14"/>
  <c r="S8" i="14"/>
  <c r="K8" i="14"/>
  <c r="F8" i="14"/>
  <c r="M11" i="14" l="1"/>
  <c r="A47" i="14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D177" i="14"/>
  <c r="B7" i="12" s="1"/>
  <c r="K16" i="14"/>
  <c r="F78" i="14"/>
  <c r="S16" i="14"/>
  <c r="L51" i="14"/>
  <c r="K78" i="14"/>
  <c r="F103" i="14"/>
  <c r="K103" i="14"/>
  <c r="F16" i="14"/>
  <c r="S103" i="14"/>
  <c r="L20" i="14"/>
  <c r="L23" i="14" s="1"/>
  <c r="S175" i="14"/>
  <c r="O157" i="14"/>
  <c r="L175" i="14"/>
  <c r="S153" i="14"/>
  <c r="F153" i="14"/>
  <c r="F175" i="14"/>
  <c r="K175" i="14"/>
  <c r="P136" i="14"/>
  <c r="P153" i="14" s="1"/>
  <c r="L153" i="14"/>
  <c r="T132" i="14"/>
  <c r="K153" i="14"/>
  <c r="M156" i="14"/>
  <c r="O132" i="14"/>
  <c r="M59" i="14"/>
  <c r="O59" i="14" s="1"/>
  <c r="O84" i="14"/>
  <c r="L83" i="14"/>
  <c r="L103" i="14" s="1"/>
  <c r="M140" i="14"/>
  <c r="O140" i="14" s="1"/>
  <c r="M13" i="14"/>
  <c r="O13" i="14" s="1"/>
  <c r="O11" i="14"/>
  <c r="M88" i="14"/>
  <c r="T88" i="14" s="1"/>
  <c r="U88" i="14" s="1"/>
  <c r="V88" i="14" s="1"/>
  <c r="M9" i="14"/>
  <c r="O9" i="14" s="1"/>
  <c r="M15" i="14"/>
  <c r="O15" i="14" s="1"/>
  <c r="M10" i="14"/>
  <c r="T10" i="14" s="1"/>
  <c r="U10" i="14" s="1"/>
  <c r="V10" i="14" s="1"/>
  <c r="P12" i="14"/>
  <c r="P56" i="14"/>
  <c r="P61" i="14"/>
  <c r="P14" i="14"/>
  <c r="P169" i="14"/>
  <c r="M146" i="14"/>
  <c r="T146" i="14" s="1"/>
  <c r="U146" i="14" s="1"/>
  <c r="V146" i="14" s="1"/>
  <c r="S57" i="14"/>
  <c r="M57" i="14" s="1"/>
  <c r="M87" i="14"/>
  <c r="O87" i="14" s="1"/>
  <c r="L8" i="14"/>
  <c r="L16" i="14" s="1"/>
  <c r="P89" i="14"/>
  <c r="M147" i="14"/>
  <c r="O147" i="14" s="1"/>
  <c r="P162" i="14"/>
  <c r="P167" i="14"/>
  <c r="M168" i="14"/>
  <c r="O168" i="14" s="1"/>
  <c r="A106" i="14" l="1"/>
  <c r="A107" i="14" s="1"/>
  <c r="A108" i="14" s="1"/>
  <c r="F177" i="14"/>
  <c r="D7" i="12" s="1"/>
  <c r="K177" i="14"/>
  <c r="I7" i="12" s="1"/>
  <c r="S78" i="14"/>
  <c r="S177" i="14" s="1"/>
  <c r="Q7" i="12" s="1"/>
  <c r="P51" i="14"/>
  <c r="L78" i="14"/>
  <c r="L177" i="14" s="1"/>
  <c r="J7" i="12" s="1"/>
  <c r="P20" i="14"/>
  <c r="P23" i="14" s="1"/>
  <c r="Q230" i="14"/>
  <c r="P175" i="14"/>
  <c r="O10" i="14"/>
  <c r="M136" i="14"/>
  <c r="U132" i="14"/>
  <c r="O156" i="14"/>
  <c r="O88" i="14"/>
  <c r="T59" i="14"/>
  <c r="U59" i="14" s="1"/>
  <c r="V59" i="14" s="1"/>
  <c r="T156" i="14"/>
  <c r="P83" i="14"/>
  <c r="P103" i="14" s="1"/>
  <c r="T9" i="14"/>
  <c r="U9" i="14" s="1"/>
  <c r="V9" i="14" s="1"/>
  <c r="T140" i="14"/>
  <c r="U140" i="14" s="1"/>
  <c r="V140" i="14" s="1"/>
  <c r="O146" i="14"/>
  <c r="T13" i="14"/>
  <c r="U13" i="14" s="1"/>
  <c r="V13" i="14" s="1"/>
  <c r="T11" i="14"/>
  <c r="U11" i="14" s="1"/>
  <c r="V11" i="14" s="1"/>
  <c r="T147" i="14"/>
  <c r="U147" i="14" s="1"/>
  <c r="V147" i="14" s="1"/>
  <c r="T168" i="14"/>
  <c r="U168" i="14" s="1"/>
  <c r="V168" i="14" s="1"/>
  <c r="T15" i="14"/>
  <c r="U15" i="14" s="1"/>
  <c r="V15" i="14" s="1"/>
  <c r="T57" i="14"/>
  <c r="U57" i="14" s="1"/>
  <c r="V57" i="14" s="1"/>
  <c r="O57" i="14"/>
  <c r="M12" i="14"/>
  <c r="O12" i="14" s="1"/>
  <c r="P8" i="14"/>
  <c r="P16" i="14" s="1"/>
  <c r="M169" i="14"/>
  <c r="O169" i="14" s="1"/>
  <c r="M167" i="14"/>
  <c r="O167" i="14" s="1"/>
  <c r="M162" i="14"/>
  <c r="O162" i="14" s="1"/>
  <c r="M89" i="14"/>
  <c r="O89" i="14" s="1"/>
  <c r="T87" i="14"/>
  <c r="U87" i="14" s="1"/>
  <c r="V87" i="14" s="1"/>
  <c r="M14" i="14"/>
  <c r="O14" i="14" s="1"/>
  <c r="M61" i="14"/>
  <c r="O61" i="14" s="1"/>
  <c r="M56" i="14"/>
  <c r="O56" i="14" s="1"/>
  <c r="A109" i="14" l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P78" i="14"/>
  <c r="P177" i="14" s="1"/>
  <c r="N7" i="12" s="1"/>
  <c r="M51" i="14"/>
  <c r="M20" i="14"/>
  <c r="M23" i="14" s="1"/>
  <c r="U156" i="14"/>
  <c r="M175" i="14"/>
  <c r="V132" i="14"/>
  <c r="O136" i="14"/>
  <c r="O153" i="14" s="1"/>
  <c r="M153" i="14"/>
  <c r="T136" i="14"/>
  <c r="O175" i="14"/>
  <c r="M83" i="14"/>
  <c r="T167" i="14"/>
  <c r="U167" i="14" s="1"/>
  <c r="V167" i="14" s="1"/>
  <c r="T89" i="14"/>
  <c r="U89" i="14" s="1"/>
  <c r="V89" i="14" s="1"/>
  <c r="T162" i="14"/>
  <c r="U162" i="14" s="1"/>
  <c r="V162" i="14" s="1"/>
  <c r="M8" i="14"/>
  <c r="T169" i="14"/>
  <c r="U169" i="14" s="1"/>
  <c r="V169" i="14" s="1"/>
  <c r="T56" i="14"/>
  <c r="U56" i="14" s="1"/>
  <c r="V56" i="14" s="1"/>
  <c r="T14" i="14"/>
  <c r="U14" i="14" s="1"/>
  <c r="V14" i="14" s="1"/>
  <c r="T61" i="14"/>
  <c r="U61" i="14" s="1"/>
  <c r="V61" i="14" s="1"/>
  <c r="T12" i="14"/>
  <c r="U12" i="14" s="1"/>
  <c r="V12" i="14" s="1"/>
  <c r="M78" i="14" l="1"/>
  <c r="O51" i="14"/>
  <c r="O78" i="14" s="1"/>
  <c r="T51" i="14"/>
  <c r="T8" i="14"/>
  <c r="T16" i="14" s="1"/>
  <c r="M16" i="14"/>
  <c r="O83" i="14"/>
  <c r="O103" i="14" s="1"/>
  <c r="M103" i="14"/>
  <c r="O20" i="14"/>
  <c r="O23" i="14" s="1"/>
  <c r="T20" i="14"/>
  <c r="T23" i="14" s="1"/>
  <c r="V156" i="14"/>
  <c r="V175" i="14" s="1"/>
  <c r="U175" i="14"/>
  <c r="U136" i="14"/>
  <c r="T153" i="14"/>
  <c r="T175" i="14"/>
  <c r="T83" i="14"/>
  <c r="O8" i="14"/>
  <c r="O16" i="14" s="1"/>
  <c r="M177" i="14" l="1"/>
  <c r="K7" i="12" s="1"/>
  <c r="O177" i="14"/>
  <c r="M7" i="12" s="1"/>
  <c r="U8" i="14"/>
  <c r="U16" i="14" s="1"/>
  <c r="U83" i="14"/>
  <c r="U103" i="14" s="1"/>
  <c r="T103" i="14"/>
  <c r="T78" i="14"/>
  <c r="U51" i="14"/>
  <c r="U20" i="14"/>
  <c r="U23" i="14" s="1"/>
  <c r="V136" i="14"/>
  <c r="V153" i="14" s="1"/>
  <c r="U153" i="14"/>
  <c r="T177" i="14" l="1"/>
  <c r="R7" i="12" s="1"/>
  <c r="V8" i="14"/>
  <c r="V16" i="14" s="1"/>
  <c r="U78" i="14"/>
  <c r="U177" i="14" s="1"/>
  <c r="S7" i="12" s="1"/>
  <c r="V51" i="14"/>
  <c r="V78" i="14" s="1"/>
  <c r="V83" i="14"/>
  <c r="V103" i="14" s="1"/>
  <c r="V20" i="14"/>
  <c r="V23" i="14" s="1"/>
  <c r="Y207" i="14" l="1"/>
  <c r="W207" i="14"/>
  <c r="V177" i="14"/>
  <c r="T7" i="12" s="1"/>
  <c r="V207" i="14" l="1"/>
  <c r="U207" i="14" s="1"/>
  <c r="S8" i="11"/>
  <c r="S9" i="11"/>
  <c r="A9" i="11"/>
  <c r="A10" i="11" s="1"/>
  <c r="A11" i="11" s="1"/>
  <c r="G10" i="10"/>
  <c r="E29" i="12" s="1"/>
  <c r="S25" i="9"/>
  <c r="K25" i="9"/>
  <c r="L25" i="9" s="1"/>
  <c r="P25" i="9" s="1"/>
  <c r="F25" i="9"/>
  <c r="A12" i="11" l="1"/>
  <c r="A13" i="11" s="1"/>
  <c r="A14" i="11" s="1"/>
  <c r="A15" i="11" s="1"/>
  <c r="Q21" i="11"/>
  <c r="M25" i="9"/>
  <c r="T25" i="9" s="1"/>
  <c r="U25" i="9" s="1"/>
  <c r="V25" i="9" s="1"/>
  <c r="A16" i="11" l="1"/>
  <c r="O25" i="9"/>
  <c r="A10" i="10" l="1"/>
  <c r="X33" i="12" l="1"/>
  <c r="Y29" i="12"/>
  <c r="F8" i="11" l="1"/>
  <c r="F9" i="11"/>
  <c r="F10" i="11"/>
  <c r="F11" i="11"/>
  <c r="F12" i="11"/>
  <c r="F13" i="11"/>
  <c r="F14" i="11"/>
  <c r="F15" i="11"/>
  <c r="T17" i="11"/>
  <c r="U17" i="11" s="1"/>
  <c r="O17" i="11"/>
  <c r="Y16" i="11"/>
  <c r="W31" i="12" s="1"/>
  <c r="X16" i="11"/>
  <c r="V31" i="12" s="1"/>
  <c r="R16" i="11"/>
  <c r="P31" i="12" s="1"/>
  <c r="Q16" i="11"/>
  <c r="O31" i="12" s="1"/>
  <c r="N16" i="11"/>
  <c r="J16" i="11"/>
  <c r="H31" i="12" s="1"/>
  <c r="I16" i="11"/>
  <c r="G31" i="12" s="1"/>
  <c r="H16" i="11"/>
  <c r="F31" i="12" s="1"/>
  <c r="G16" i="11"/>
  <c r="E31" i="12" s="1"/>
  <c r="E16" i="11"/>
  <c r="C31" i="12" s="1"/>
  <c r="S15" i="11"/>
  <c r="K15" i="11"/>
  <c r="L15" i="11" s="1"/>
  <c r="S14" i="11"/>
  <c r="K14" i="11"/>
  <c r="L14" i="11" s="1"/>
  <c r="S13" i="11"/>
  <c r="K13" i="11"/>
  <c r="L13" i="11" s="1"/>
  <c r="S12" i="11"/>
  <c r="K12" i="11"/>
  <c r="L12" i="11" s="1"/>
  <c r="S11" i="11"/>
  <c r="K11" i="11"/>
  <c r="L11" i="11" s="1"/>
  <c r="S10" i="11"/>
  <c r="K10" i="11"/>
  <c r="L10" i="11" s="1"/>
  <c r="K9" i="11"/>
  <c r="L9" i="11" s="1"/>
  <c r="K8" i="11"/>
  <c r="L8" i="11" s="1"/>
  <c r="U7" i="11"/>
  <c r="O7" i="11"/>
  <c r="L31" i="12" l="1"/>
  <c r="Y31" i="12"/>
  <c r="D16" i="11"/>
  <c r="P11" i="11"/>
  <c r="M11" i="11" s="1"/>
  <c r="P10" i="11"/>
  <c r="M10" i="11" s="1"/>
  <c r="S16" i="11"/>
  <c r="Q31" i="12" s="1"/>
  <c r="K16" i="11"/>
  <c r="I31" i="12" s="1"/>
  <c r="P8" i="11"/>
  <c r="L16" i="11"/>
  <c r="J31" i="12" s="1"/>
  <c r="P12" i="11"/>
  <c r="M12" i="11" s="1"/>
  <c r="P14" i="11"/>
  <c r="M14" i="11" s="1"/>
  <c r="F16" i="11"/>
  <c r="D31" i="12" s="1"/>
  <c r="P13" i="11"/>
  <c r="M13" i="11" s="1"/>
  <c r="P9" i="11"/>
  <c r="M9" i="11" s="1"/>
  <c r="P15" i="11"/>
  <c r="M15" i="11" s="1"/>
  <c r="B31" i="12" l="1"/>
  <c r="M8" i="11"/>
  <c r="T8" i="11" s="1"/>
  <c r="O11" i="11"/>
  <c r="O14" i="11"/>
  <c r="O10" i="11"/>
  <c r="O13" i="11"/>
  <c r="O15" i="11"/>
  <c r="O12" i="11"/>
  <c r="O9" i="11"/>
  <c r="P16" i="11"/>
  <c r="N31" i="12" s="1"/>
  <c r="T11" i="10"/>
  <c r="U11" i="10" s="1"/>
  <c r="O11" i="10"/>
  <c r="Y10" i="10"/>
  <c r="W29" i="12" s="1"/>
  <c r="X10" i="10"/>
  <c r="V29" i="12" s="1"/>
  <c r="W10" i="10"/>
  <c r="U29" i="12" s="1"/>
  <c r="R10" i="10"/>
  <c r="P29" i="12" s="1"/>
  <c r="Q10" i="10"/>
  <c r="O29" i="12" s="1"/>
  <c r="N10" i="10"/>
  <c r="L29" i="12" s="1"/>
  <c r="J10" i="10"/>
  <c r="H29" i="12" s="1"/>
  <c r="I10" i="10"/>
  <c r="G29" i="12" s="1"/>
  <c r="H10" i="10"/>
  <c r="F29" i="12" s="1"/>
  <c r="E10" i="10"/>
  <c r="C29" i="12" s="1"/>
  <c r="S9" i="10"/>
  <c r="K9" i="10"/>
  <c r="L9" i="10" s="1"/>
  <c r="F9" i="10"/>
  <c r="S8" i="10"/>
  <c r="K8" i="10"/>
  <c r="L8" i="10" s="1"/>
  <c r="F8" i="10"/>
  <c r="A8" i="10"/>
  <c r="S7" i="10"/>
  <c r="K7" i="10"/>
  <c r="L7" i="10" s="1"/>
  <c r="P7" i="10" s="1"/>
  <c r="O8" i="11" l="1"/>
  <c r="O16" i="11" s="1"/>
  <c r="M31" i="12" s="1"/>
  <c r="T11" i="11"/>
  <c r="T10" i="11"/>
  <c r="U10" i="11" s="1"/>
  <c r="T9" i="11"/>
  <c r="T13" i="11"/>
  <c r="T15" i="11"/>
  <c r="U15" i="11" s="1"/>
  <c r="T12" i="11"/>
  <c r="M16" i="11"/>
  <c r="K31" i="12" s="1"/>
  <c r="T14" i="11"/>
  <c r="U14" i="11" s="1"/>
  <c r="V14" i="11" s="1"/>
  <c r="U8" i="11"/>
  <c r="V8" i="11" s="1"/>
  <c r="D10" i="10"/>
  <c r="B29" i="12" s="1"/>
  <c r="M7" i="10"/>
  <c r="O7" i="10" s="1"/>
  <c r="K10" i="10"/>
  <c r="I29" i="12" s="1"/>
  <c r="P8" i="10"/>
  <c r="L10" i="10"/>
  <c r="J29" i="12" s="1"/>
  <c r="F7" i="10"/>
  <c r="F10" i="10" s="1"/>
  <c r="D29" i="12" s="1"/>
  <c r="S10" i="10"/>
  <c r="Q29" i="12" s="1"/>
  <c r="P9" i="10"/>
  <c r="T29" i="9"/>
  <c r="U29" i="9" s="1"/>
  <c r="O29" i="9"/>
  <c r="Y28" i="9"/>
  <c r="W27" i="12" s="1"/>
  <c r="W33" i="12" s="1"/>
  <c r="X28" i="9"/>
  <c r="V27" i="12" s="1"/>
  <c r="V33" i="12" s="1"/>
  <c r="W28" i="9"/>
  <c r="U27" i="12" s="1"/>
  <c r="R28" i="9"/>
  <c r="P27" i="12" s="1"/>
  <c r="P33" i="12" s="1"/>
  <c r="Q28" i="9"/>
  <c r="O27" i="12" s="1"/>
  <c r="O33" i="12" s="1"/>
  <c r="N28" i="9"/>
  <c r="L27" i="12" s="1"/>
  <c r="L33" i="12" s="1"/>
  <c r="J28" i="9"/>
  <c r="H27" i="12" s="1"/>
  <c r="H33" i="12" s="1"/>
  <c r="I28" i="9"/>
  <c r="G27" i="12" s="1"/>
  <c r="G33" i="12" s="1"/>
  <c r="H28" i="9"/>
  <c r="F27" i="12" s="1"/>
  <c r="F33" i="12" s="1"/>
  <c r="G28" i="9"/>
  <c r="E27" i="12" s="1"/>
  <c r="E33" i="12" s="1"/>
  <c r="E28" i="9"/>
  <c r="C27" i="12" s="1"/>
  <c r="C33" i="12" s="1"/>
  <c r="S27" i="9"/>
  <c r="K27" i="9"/>
  <c r="L27" i="9" s="1"/>
  <c r="P27" i="9" s="1"/>
  <c r="F27" i="9"/>
  <c r="S26" i="9"/>
  <c r="K26" i="9"/>
  <c r="L26" i="9" s="1"/>
  <c r="F26" i="9"/>
  <c r="S24" i="9"/>
  <c r="K24" i="9"/>
  <c r="L24" i="9" s="1"/>
  <c r="F24" i="9"/>
  <c r="S23" i="9"/>
  <c r="K23" i="9"/>
  <c r="L23" i="9" s="1"/>
  <c r="F23" i="9"/>
  <c r="S22" i="9"/>
  <c r="K22" i="9"/>
  <c r="L22" i="9" s="1"/>
  <c r="P22" i="9" s="1"/>
  <c r="F22" i="9"/>
  <c r="S21" i="9"/>
  <c r="K21" i="9"/>
  <c r="L21" i="9" s="1"/>
  <c r="F21" i="9"/>
  <c r="S20" i="9"/>
  <c r="K20" i="9"/>
  <c r="L20" i="9" s="1"/>
  <c r="F20" i="9"/>
  <c r="S19" i="9"/>
  <c r="K19" i="9"/>
  <c r="L19" i="9" s="1"/>
  <c r="F19" i="9"/>
  <c r="S18" i="9"/>
  <c r="K18" i="9"/>
  <c r="L18" i="9" s="1"/>
  <c r="F18" i="9"/>
  <c r="S17" i="9"/>
  <c r="K17" i="9"/>
  <c r="L17" i="9" s="1"/>
  <c r="F17" i="9"/>
  <c r="S16" i="9"/>
  <c r="K16" i="9"/>
  <c r="L16" i="9" s="1"/>
  <c r="P16" i="9" s="1"/>
  <c r="F16" i="9"/>
  <c r="S15" i="9"/>
  <c r="K15" i="9"/>
  <c r="L15" i="9" s="1"/>
  <c r="F15" i="9"/>
  <c r="S14" i="9"/>
  <c r="K14" i="9"/>
  <c r="L14" i="9" s="1"/>
  <c r="F14" i="9"/>
  <c r="S13" i="9"/>
  <c r="K13" i="9"/>
  <c r="L13" i="9" s="1"/>
  <c r="P13" i="9" s="1"/>
  <c r="F13" i="9"/>
  <c r="S12" i="9"/>
  <c r="K12" i="9"/>
  <c r="L12" i="9" s="1"/>
  <c r="P12" i="9" s="1"/>
  <c r="M12" i="9" s="1"/>
  <c r="F12" i="9"/>
  <c r="S11" i="9"/>
  <c r="K11" i="9"/>
  <c r="L11" i="9" s="1"/>
  <c r="F11" i="9"/>
  <c r="S10" i="9"/>
  <c r="K10" i="9"/>
  <c r="L10" i="9" s="1"/>
  <c r="F10" i="9"/>
  <c r="S9" i="9"/>
  <c r="K9" i="9"/>
  <c r="L9" i="9" s="1"/>
  <c r="F9" i="9"/>
  <c r="A9" i="9"/>
  <c r="A10" i="9" s="1"/>
  <c r="S8" i="9"/>
  <c r="K8" i="9"/>
  <c r="F8" i="9"/>
  <c r="T7" i="9"/>
  <c r="U7" i="9" s="1"/>
  <c r="O7" i="9"/>
  <c r="V15" i="11" l="1"/>
  <c r="U11" i="11"/>
  <c r="V11" i="11" s="1"/>
  <c r="U9" i="11"/>
  <c r="V9" i="11" s="1"/>
  <c r="U12" i="11"/>
  <c r="V12" i="11" s="1"/>
  <c r="W10" i="11"/>
  <c r="W16" i="11" s="1"/>
  <c r="U31" i="12" s="1"/>
  <c r="U33" i="12" s="1"/>
  <c r="M22" i="9"/>
  <c r="M13" i="9"/>
  <c r="O13" i="9" s="1"/>
  <c r="A11" i="9"/>
  <c r="A12" i="9" s="1"/>
  <c r="A13" i="9" s="1"/>
  <c r="U13" i="11"/>
  <c r="T16" i="11"/>
  <c r="R31" i="12" s="1"/>
  <c r="T7" i="10"/>
  <c r="U7" i="10" s="1"/>
  <c r="V7" i="10" s="1"/>
  <c r="M8" i="10"/>
  <c r="T8" i="10" s="1"/>
  <c r="U8" i="10" s="1"/>
  <c r="V8" i="10" s="1"/>
  <c r="M9" i="10"/>
  <c r="O9" i="10" s="1"/>
  <c r="P10" i="10"/>
  <c r="N29" i="12" s="1"/>
  <c r="D28" i="9"/>
  <c r="B27" i="12" s="1"/>
  <c r="M16" i="9"/>
  <c r="O16" i="9" s="1"/>
  <c r="O12" i="9"/>
  <c r="S28" i="9"/>
  <c r="Q27" i="12" s="1"/>
  <c r="Q33" i="12" s="1"/>
  <c r="O22" i="9"/>
  <c r="M27" i="9"/>
  <c r="O27" i="9" s="1"/>
  <c r="P23" i="9"/>
  <c r="P26" i="9"/>
  <c r="P17" i="9"/>
  <c r="P19" i="9"/>
  <c r="P9" i="9"/>
  <c r="M9" i="9" s="1"/>
  <c r="P15" i="9"/>
  <c r="P21" i="9"/>
  <c r="K28" i="9"/>
  <c r="I27" i="12" s="1"/>
  <c r="I33" i="12" s="1"/>
  <c r="L8" i="9"/>
  <c r="P10" i="9"/>
  <c r="M10" i="9" s="1"/>
  <c r="P14" i="9"/>
  <c r="M14" i="9" s="1"/>
  <c r="P18" i="9"/>
  <c r="P20" i="9"/>
  <c r="P24" i="9"/>
  <c r="P11" i="9"/>
  <c r="M11" i="9" s="1"/>
  <c r="F28" i="9"/>
  <c r="D27" i="12" s="1"/>
  <c r="D33" i="12" s="1"/>
  <c r="V13" i="11" l="1"/>
  <c r="V10" i="11"/>
  <c r="V16" i="11" s="1"/>
  <c r="T31" i="12" s="1"/>
  <c r="T13" i="9"/>
  <c r="U13" i="9" s="1"/>
  <c r="V13" i="9" s="1"/>
  <c r="A14" i="9"/>
  <c r="A15" i="9" s="1"/>
  <c r="A16" i="9" s="1"/>
  <c r="A17" i="9" s="1"/>
  <c r="A18" i="9" s="1"/>
  <c r="A19" i="9" s="1"/>
  <c r="T16" i="9"/>
  <c r="U16" i="9" s="1"/>
  <c r="V16" i="9" s="1"/>
  <c r="U16" i="11"/>
  <c r="S31" i="12" s="1"/>
  <c r="T9" i="10"/>
  <c r="U9" i="10" s="1"/>
  <c r="O8" i="10"/>
  <c r="O10" i="10" s="1"/>
  <c r="M29" i="12" s="1"/>
  <c r="M10" i="10"/>
  <c r="K29" i="12" s="1"/>
  <c r="T27" i="9"/>
  <c r="U27" i="9" s="1"/>
  <c r="V27" i="9" s="1"/>
  <c r="T22" i="9"/>
  <c r="U22" i="9" s="1"/>
  <c r="V22" i="9" s="1"/>
  <c r="T12" i="9"/>
  <c r="U12" i="9" s="1"/>
  <c r="V12" i="9" s="1"/>
  <c r="O11" i="9"/>
  <c r="O10" i="9"/>
  <c r="M21" i="9"/>
  <c r="O21" i="9" s="1"/>
  <c r="M15" i="9"/>
  <c r="O15" i="9" s="1"/>
  <c r="M26" i="9"/>
  <c r="O26" i="9" s="1"/>
  <c r="M17" i="9"/>
  <c r="O17" i="9" s="1"/>
  <c r="M19" i="9"/>
  <c r="O19" i="9" s="1"/>
  <c r="M24" i="9"/>
  <c r="O24" i="9" s="1"/>
  <c r="M18" i="9"/>
  <c r="O18" i="9" s="1"/>
  <c r="M20" i="9"/>
  <c r="O20" i="9" s="1"/>
  <c r="O14" i="9"/>
  <c r="L28" i="9"/>
  <c r="J27" i="12" s="1"/>
  <c r="J33" i="12" s="1"/>
  <c r="P8" i="9"/>
  <c r="O9" i="9"/>
  <c r="M23" i="9"/>
  <c r="O23" i="9" s="1"/>
  <c r="A20" i="9" l="1"/>
  <c r="A21" i="9" s="1"/>
  <c r="A22" i="9" s="1"/>
  <c r="A23" i="9" s="1"/>
  <c r="A24" i="9" s="1"/>
  <c r="A25" i="9" s="1"/>
  <c r="U10" i="10"/>
  <c r="S29" i="12" s="1"/>
  <c r="V9" i="10"/>
  <c r="V10" i="10" s="1"/>
  <c r="T29" i="12" s="1"/>
  <c r="T10" i="10"/>
  <c r="R29" i="12" s="1"/>
  <c r="T11" i="9"/>
  <c r="U11" i="9" s="1"/>
  <c r="V11" i="9" s="1"/>
  <c r="T10" i="9"/>
  <c r="U10" i="9" s="1"/>
  <c r="V10" i="9" s="1"/>
  <c r="T14" i="9"/>
  <c r="U14" i="9" s="1"/>
  <c r="V14" i="9" s="1"/>
  <c r="T21" i="9"/>
  <c r="U21" i="9" s="1"/>
  <c r="V21" i="9" s="1"/>
  <c r="T17" i="9"/>
  <c r="U17" i="9" s="1"/>
  <c r="V17" i="9" s="1"/>
  <c r="T26" i="9"/>
  <c r="U26" i="9" s="1"/>
  <c r="V26" i="9" s="1"/>
  <c r="T23" i="9"/>
  <c r="U23" i="9" s="1"/>
  <c r="V23" i="9" s="1"/>
  <c r="T18" i="9"/>
  <c r="U18" i="9" s="1"/>
  <c r="V18" i="9" s="1"/>
  <c r="T19" i="9"/>
  <c r="U19" i="9" s="1"/>
  <c r="V19" i="9" s="1"/>
  <c r="T15" i="9"/>
  <c r="U15" i="9" s="1"/>
  <c r="V15" i="9" s="1"/>
  <c r="T9" i="9"/>
  <c r="U9" i="9" s="1"/>
  <c r="V9" i="9" s="1"/>
  <c r="T20" i="9"/>
  <c r="U20" i="9" s="1"/>
  <c r="V20" i="9" s="1"/>
  <c r="M8" i="9"/>
  <c r="T8" i="9" s="1"/>
  <c r="P28" i="9"/>
  <c r="N27" i="12" s="1"/>
  <c r="N33" i="12" s="1"/>
  <c r="T24" i="9"/>
  <c r="U24" i="9" s="1"/>
  <c r="V24" i="9" s="1"/>
  <c r="A26" i="9" l="1"/>
  <c r="A27" i="9" s="1"/>
  <c r="A28" i="9" s="1"/>
  <c r="Y27" i="12" s="1"/>
  <c r="U8" i="9"/>
  <c r="T28" i="9"/>
  <c r="R27" i="12" s="1"/>
  <c r="R33" i="12" s="1"/>
  <c r="M28" i="9"/>
  <c r="K27" i="12" s="1"/>
  <c r="K33" i="12" s="1"/>
  <c r="O8" i="9"/>
  <c r="O28" i="9" s="1"/>
  <c r="M27" i="12" s="1"/>
  <c r="M33" i="12" s="1"/>
  <c r="U28" i="9" l="1"/>
  <c r="S27" i="12" s="1"/>
  <c r="S33" i="12" s="1"/>
  <c r="V8" i="9"/>
  <c r="V28" i="9" s="1"/>
  <c r="T27" i="12" s="1"/>
  <c r="T33" i="12" s="1"/>
  <c r="U38" i="12" l="1"/>
  <c r="V38" i="12"/>
  <c r="W38" i="12"/>
  <c r="B33" i="12"/>
  <c r="A156" i="14" l="1"/>
  <c r="A157" i="14" s="1"/>
  <c r="A158" i="14" s="1"/>
  <c r="A159" i="14" l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l="1"/>
  <c r="A174" i="14" s="1"/>
  <c r="A177" i="14" s="1"/>
  <c r="Y7" i="12" s="1"/>
  <c r="A13" i="22"/>
  <c r="A14" i="22" l="1"/>
  <c r="A15" i="22" s="1"/>
  <c r="A16" i="22" s="1"/>
  <c r="A17" i="22" s="1"/>
  <c r="A18" i="22" s="1"/>
  <c r="Y25" i="12" l="1"/>
  <c r="Y33" i="12" s="1"/>
  <c r="T37" i="12"/>
  <c r="S37" i="12" l="1"/>
  <c r="T38" i="12"/>
  <c r="S38" i="12" l="1"/>
</calcChain>
</file>

<file path=xl/comments1.xml><?xml version="1.0" encoding="utf-8"?>
<comments xmlns="http://schemas.openxmlformats.org/spreadsheetml/2006/main">
  <authors>
    <author>IT-Yulia Pesis</author>
  </authors>
  <commentList>
    <comment ref="N14" authorId="0">
      <text>
        <r>
          <rPr>
            <b/>
            <sz val="9"/>
            <color indexed="81"/>
            <rFont val="Tahoma"/>
            <family val="2"/>
          </rPr>
          <t>IT-Yulia Pesis:</t>
        </r>
        <r>
          <rPr>
            <sz val="9"/>
            <color indexed="81"/>
            <rFont val="Tahoma"/>
            <family val="2"/>
          </rPr>
          <t xml:space="preserve">
חוזה 7826 - שדרוג תקשורת במוס"ח על יסודיים</t>
        </r>
      </text>
    </comment>
  </commentList>
</comments>
</file>

<file path=xl/comments2.xml><?xml version="1.0" encoding="utf-8"?>
<comments xmlns="http://schemas.openxmlformats.org/spreadsheetml/2006/main">
  <authors>
    <author>maayan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maayan:</t>
        </r>
        <r>
          <rPr>
            <sz val="9"/>
            <color indexed="81"/>
            <rFont val="Tahoma"/>
            <family val="2"/>
          </rPr>
          <t xml:space="preserve">
נסגר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maayan:</t>
        </r>
        <r>
          <rPr>
            <sz val="9"/>
            <color indexed="81"/>
            <rFont val="Tahoma"/>
            <family val="2"/>
          </rPr>
          <t xml:space="preserve">
נסגר</t>
        </r>
      </text>
    </comment>
  </commentList>
</comments>
</file>

<file path=xl/comments3.xml><?xml version="1.0" encoding="utf-8"?>
<comments xmlns="http://schemas.openxmlformats.org/spreadsheetml/2006/main">
  <authors>
    <author>Logistic-Tali Sherpsky</author>
  </authors>
  <commentList>
    <comment ref="M24" authorId="0">
      <text>
        <r>
          <rPr>
            <b/>
            <sz val="9"/>
            <color indexed="81"/>
            <rFont val="Tahoma"/>
            <family val="2"/>
          </rPr>
          <t>כולל הזרמה שטרם בוצעה: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כולל הזרמה שטרם בוצעה
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Logistic-Tali Sherpsky:</t>
        </r>
        <r>
          <rPr>
            <sz val="9"/>
            <color indexed="81"/>
            <rFont val="Tahoma"/>
            <family val="2"/>
          </rPr>
          <t xml:space="preserve">
כולל יתרה שטרם הוזרמה
</t>
        </r>
      </text>
    </comment>
  </commentList>
</comments>
</file>

<file path=xl/comments4.xml><?xml version="1.0" encoding="utf-8"?>
<comments xmlns="http://schemas.openxmlformats.org/spreadsheetml/2006/main">
  <authors>
    <author>Eng-Sarit Avramovich</author>
  </authors>
  <commentList>
    <comment ref="R95" authorId="0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וועדת כספים 27.7
</t>
        </r>
      </text>
    </comment>
    <comment ref="R96" authorId="0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ועדת כספים 27/7</t>
        </r>
      </text>
    </comment>
    <comment ref="R97" authorId="0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וועדת כספים 27.7
</t>
        </r>
      </text>
    </comment>
    <comment ref="R98" authorId="0">
      <text>
        <r>
          <rPr>
            <b/>
            <sz val="9"/>
            <color indexed="81"/>
            <rFont val="Tahoma"/>
            <family val="2"/>
          </rPr>
          <t>Eng-Sarit Avramovich:</t>
        </r>
        <r>
          <rPr>
            <sz val="9"/>
            <color indexed="81"/>
            <rFont val="Tahoma"/>
            <family val="2"/>
          </rPr>
          <t xml:space="preserve">
וועדת כספים 27.7
</t>
        </r>
      </text>
    </comment>
  </commentList>
</comments>
</file>

<file path=xl/sharedStrings.xml><?xml version="1.0" encoding="utf-8"?>
<sst xmlns="http://schemas.openxmlformats.org/spreadsheetml/2006/main" count="1020" uniqueCount="642">
  <si>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</si>
  <si>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</si>
  <si>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</si>
  <si>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</si>
  <si>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</si>
  <si>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</si>
  <si>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</si>
  <si>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</si>
  <si>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</si>
  <si>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</si>
  <si>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</si>
  <si>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</si>
  <si>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</si>
  <si>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</si>
  <si>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</si>
  <si>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</si>
  <si>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תאור הפרויקט</t>
  </si>
  <si>
    <t>הערות</t>
  </si>
  <si>
    <t>פרק תב"ר</t>
  </si>
  <si>
    <t>תוכנית מתאר נוה עמל</t>
  </si>
  <si>
    <t>תב"ע קמפוס המכללות</t>
  </si>
  <si>
    <t>תכנון מתחם הר' 2200</t>
  </si>
  <si>
    <t>תוכ'-זוגות צעירים-יד התשעה</t>
  </si>
  <si>
    <t>תב"ע הר' 2162 רזיאל</t>
  </si>
  <si>
    <t>תב"עות קטנות</t>
  </si>
  <si>
    <t>תב"ע שיקום חופי הרצליה</t>
  </si>
  <si>
    <t>חידוש תוקף תוכנית מתאר</t>
  </si>
  <si>
    <t>תב"ע הרחבת רח' שלמה המלך</t>
  </si>
  <si>
    <t>תב"ע הפקעת שטחים</t>
  </si>
  <si>
    <t>תמ"א 38</t>
  </si>
  <si>
    <t>מעונות שרה התחדשות עירונית</t>
  </si>
  <si>
    <t>תכנון פרויקטים פינוי בינוי</t>
  </si>
  <si>
    <t>הסדרת רישוי מבני ציבור קיימים</t>
  </si>
  <si>
    <t>הפרדה מפלסית הרב קוק/ז'בוטינסק</t>
  </si>
  <si>
    <t>התחדשות עירונית</t>
  </si>
  <si>
    <t>פינוי בינוי מעונות שרה</t>
  </si>
  <si>
    <t>תב"ע 2159</t>
  </si>
  <si>
    <t>מסמכי מדיניות להתחדשות עירונית בשכונות</t>
  </si>
  <si>
    <t>תב"ע לדיור בר השגה ברב קוק</t>
  </si>
  <si>
    <t>תוכנית אסטרטגית להתי' עירונית במרכז העיר</t>
  </si>
  <si>
    <t>תוכנית אסטרטגית להתי' עירונית באזהת"ש</t>
  </si>
  <si>
    <t>תב"ע חניון שטח מרינה לי 2073</t>
  </si>
  <si>
    <t>מתחם הבריגדה מתחם הר' 1960</t>
  </si>
  <si>
    <t>מחלף הרב מכר</t>
  </si>
  <si>
    <t>פיתוח מתחם אלוני ים הר' 2030</t>
  </si>
  <si>
    <t>רח' ז'בוטינסקי אלתרמן הבריגדה</t>
  </si>
  <si>
    <t>פיתוח מתחם "מרינה לי"</t>
  </si>
  <si>
    <t>מרכז תחבורה חדש</t>
  </si>
  <si>
    <t>תכנון חניון במתחם אגד</t>
  </si>
  <si>
    <t>יעודי קרקע -מפת בסיס</t>
  </si>
  <si>
    <t>עבודות ניקוז בעיר</t>
  </si>
  <si>
    <t>פת' בעיות קונסטרוקציה</t>
  </si>
  <si>
    <t>עבודות פיתוח ותשתיות קטנות</t>
  </si>
  <si>
    <t>פרויקטים תחבורתיים בעיר</t>
  </si>
  <si>
    <t>תכנונים כלליים</t>
  </si>
  <si>
    <t>השלמת מבנה העיריה החדש</t>
  </si>
  <si>
    <t>מתחם נוף ים פיתוח</t>
  </si>
  <si>
    <t>שכ"ט טיפול תביעות בנושאי היטלי פיתוח וסוגיות תכנון</t>
  </si>
  <si>
    <t>מתחם יהודה המכבי וזוהר טל</t>
  </si>
  <si>
    <t>מתחם נוריות מזרח</t>
  </si>
  <si>
    <t>רחובות תדהר קורן ואנה פרנק</t>
  </si>
  <si>
    <t>ליווי B.R.T</t>
  </si>
  <si>
    <t>פתוח קטעי רח' דרך ירושלים גולומב</t>
  </si>
  <si>
    <t>רחוב בר כוכבא</t>
  </si>
  <si>
    <t>העתקות פרויקטים שונים</t>
  </si>
  <si>
    <t>שיפוץ אולם ספורט היובל</t>
  </si>
  <si>
    <t>שצ"פ רבי עקיבא דרומה</t>
  </si>
  <si>
    <t>פיתוח רח' אבוקה מולדת</t>
  </si>
  <si>
    <t>חיבור גשר הולכי רגל כביש 20</t>
  </si>
  <si>
    <t>צומת סוקולוב בן גוריון</t>
  </si>
  <si>
    <t>תכנון בנייה ציבורית</t>
  </si>
  <si>
    <t>תכנון דיור בר השגה ברב קוק</t>
  </si>
  <si>
    <t>חיבור מערכת ניקוז לכביש 20</t>
  </si>
  <si>
    <t>מכון מדעי טכנולוגי שלב א' - ביצוע</t>
  </si>
  <si>
    <t>החלפת מדרכות</t>
  </si>
  <si>
    <t>מתחם הגאון מוילנא חתם סופר</t>
  </si>
  <si>
    <t>ביצוע תוכנית אב לשבילי אופניים</t>
  </si>
  <si>
    <t>פ.מתחם רזיאל מע' תב"ע 1706</t>
  </si>
  <si>
    <t>אולם ספורט בי"ס וולפסון</t>
  </si>
  <si>
    <t>רח' גבעת החלומות פיתוח</t>
  </si>
  <si>
    <t>גן שחרית</t>
  </si>
  <si>
    <t>פארק הבאסה שלב ב'</t>
  </si>
  <si>
    <t>שצ"פ אל על והמינהרה</t>
  </si>
  <si>
    <t>שצ"פ סימטת רחל וחנייה</t>
  </si>
  <si>
    <t>ספורטק שלב ג'</t>
  </si>
  <si>
    <t>תוכנית אב לתחבורה בהרצליה</t>
  </si>
  <si>
    <t>שדרוג הארכיב</t>
  </si>
  <si>
    <t>בנית ספריה נווה עמל</t>
  </si>
  <si>
    <t>רח' הארז</t>
  </si>
  <si>
    <t>שביל צמרות ישראל</t>
  </si>
  <si>
    <t>רח' אזר וההסתדרות</t>
  </si>
  <si>
    <t>גבעת מרדכי</t>
  </si>
  <si>
    <t>פיתוח פארק שלב ג'</t>
  </si>
  <si>
    <t>הוצאות אכיפה-דירות נופש במרינה</t>
  </si>
  <si>
    <t>שביל המעלות</t>
  </si>
  <si>
    <t>בריכה טיפולית אופק</t>
  </si>
  <si>
    <t>פיתוח מסביב לגנ"י חדשים</t>
  </si>
  <si>
    <t>כיכר בן גוריון הבנים</t>
  </si>
  <si>
    <t>הסדרת תעלה ותפיסת קיץ בר כוכבא</t>
  </si>
  <si>
    <t>מתקן משחקים פארק-תיקון</t>
  </si>
  <si>
    <t>חיזוק קונסטרוקציה ברכה נורדאו</t>
  </si>
  <si>
    <t>פיתוח מדרכה סמוך למוסך דן</t>
  </si>
  <si>
    <t>צומת לייב יפה כיבוש העבודה</t>
  </si>
  <si>
    <t>איטום גג מוזיאון הרצליה</t>
  </si>
  <si>
    <t>פיתוח פארק הבאסה</t>
  </si>
  <si>
    <t>כביש הואדי</t>
  </si>
  <si>
    <t>ויגייט דרום סטרומה</t>
  </si>
  <si>
    <t>מתחם רחוב משה</t>
  </si>
  <si>
    <t>פרויקט   G I.S עירוני</t>
  </si>
  <si>
    <t>גינון ושדרוג החצר תיכון ראשונים</t>
  </si>
  <si>
    <t>המרכז החדש שלב ב'-רח' בן גוריון</t>
  </si>
  <si>
    <t>פארק הואדי מ.היהודים אבא אבן</t>
  </si>
  <si>
    <t xml:space="preserve">       </t>
  </si>
  <si>
    <t>תכנון ייעוץ הנדסי "סל"</t>
  </si>
  <si>
    <t>החלפת גגות אסבסט</t>
  </si>
  <si>
    <t>שיפוץ מבני דת ציבוריים</t>
  </si>
  <si>
    <t>שיפוצים מוס"ח תוכנית אב</t>
  </si>
  <si>
    <t>סימון הרכוש העירוני</t>
  </si>
  <si>
    <t>התק' תמרורים מהבהבים</t>
  </si>
  <si>
    <t>התקנת מיגון אב"כ במקלטים ברחבי העיר</t>
  </si>
  <si>
    <t>בטיחות אש במוס"ח</t>
  </si>
  <si>
    <t>שדרוג מרכז הפעלה עירוני</t>
  </si>
  <si>
    <t>התקנה שדרוג מזגנים במוס' העיריה</t>
  </si>
  <si>
    <t>מדרג' חרום כיבוי אש לגלריית האומנים</t>
  </si>
  <si>
    <t>מיזוג אוויר במוס"ח</t>
  </si>
  <si>
    <t>צביעה יסודית גנ"י ברחבי העיר</t>
  </si>
  <si>
    <t>צביעה יסודית בי"ס ברחבי העיר</t>
  </si>
  <si>
    <t>איטום גגות</t>
  </si>
  <si>
    <t>החלפת חול בארגזי חול</t>
  </si>
  <si>
    <t>בטיחות מוס"ח</t>
  </si>
  <si>
    <t>התקנת עמודי תאורה</t>
  </si>
  <si>
    <t>גידור מוס"ח</t>
  </si>
  <si>
    <t>ריהוט גנ"י</t>
  </si>
  <si>
    <t>פרויקטים תחבורתיים "סל"</t>
  </si>
  <si>
    <t>הסדרת חניונים ברחבי העיר</t>
  </si>
  <si>
    <t>שיפוץ מבני תנו"ס</t>
  </si>
  <si>
    <t>שדרוג כבישים ומדרכות</t>
  </si>
  <si>
    <t>שדרוג מערכות כיבוי אש במחסני העירייה</t>
  </si>
  <si>
    <t>שדרוג תקשורת מצלמות אלחוטיות</t>
  </si>
  <si>
    <t>עבודות שונות בפארק הרצליה</t>
  </si>
  <si>
    <t>עבודות שונות באיצטדיון</t>
  </si>
  <si>
    <t>שדרוג מקלטים ציבוריים</t>
  </si>
  <si>
    <t>מבנה שירותים ביכ"נ נר הקדושים</t>
  </si>
  <si>
    <t>התייעלות בתאורת חוץ עפ"י סקר</t>
  </si>
  <si>
    <t>נגישות אקוסטית/חושית מוס"ח</t>
  </si>
  <si>
    <t>שיפוץ מרכז צעירים</t>
  </si>
  <si>
    <t>פיתוח ושדרוג מגרשי ספורט בן גוריון</t>
  </si>
  <si>
    <t>בניית גנ"י חדשים</t>
  </si>
  <si>
    <t>שיפוצים מוס"ח 2014</t>
  </si>
  <si>
    <t>עבודות התאמה לתקן חדש מ. ספורט</t>
  </si>
  <si>
    <t>נגישות ליקויי שמיעה</t>
  </si>
  <si>
    <t>מע. ביוב במקלטים ציבוריים</t>
  </si>
  <si>
    <t>שדרוג תאורת רחוב</t>
  </si>
  <si>
    <t>שדרוג הרחבה שפ"ח,"תיכון לחיים"</t>
  </si>
  <si>
    <t>שיפוץ מוקד טלפוני בניין העיריה</t>
  </si>
  <si>
    <t>בניית שרותים בי"ס הנדיב</t>
  </si>
  <si>
    <t>מתקני מים מטוהרים בגנ"י</t>
  </si>
  <si>
    <t>החלפת גופי תאורה ללדים</t>
  </si>
  <si>
    <t>עבודות קייץ בי"ס,גנ"י</t>
  </si>
  <si>
    <t>הערכות לפתיחת שנת הלימודים  תשע"ו</t>
  </si>
  <si>
    <t>שיפוץ גני ילדים</t>
  </si>
  <si>
    <t>שיפוצי מוסדות חינוך 2015</t>
  </si>
  <si>
    <t>מיזוג אוויר אולמות ספורט אילנות,רעות,שזר ,ברנר,ויצמן</t>
  </si>
  <si>
    <t>גידור שיפוץ גדרות מ.ספורט</t>
  </si>
  <si>
    <t>הצטיידות גנ"י חדשים לפי חוק</t>
  </si>
  <si>
    <t>התקנת סלים חדשים במגרשי הספורט</t>
  </si>
  <si>
    <t>פרויקט שיגור לווין</t>
  </si>
  <si>
    <t>עב' מיזוג אוויר בסינמטק</t>
  </si>
  <si>
    <t>הצטיידות גנ"י חדשים תשע"ד</t>
  </si>
  <si>
    <t>הצטיידות מ.יום לקשיש צמרות</t>
  </si>
  <si>
    <t>הצטיידות מעון יום</t>
  </si>
  <si>
    <t>הצטיידות מבנה תרבות עירוני</t>
  </si>
  <si>
    <t>פרויקט שיגור לווין 2 דוכיפת 2</t>
  </si>
  <si>
    <t>מכון מדעי טכנולוגי שלב א'</t>
  </si>
  <si>
    <t>גידור מגרשי טניס נ.עמל</t>
  </si>
  <si>
    <t>הצטיידות כיתות חדשות בי"ס-נתיב</t>
  </si>
  <si>
    <t>רכישת כלי נגינה בקונסבטוריון</t>
  </si>
  <si>
    <t>מיזוג אוויר בכיתות לימוד בי"ס חינוך ימי</t>
  </si>
  <si>
    <t>רכישת מכשירי החייאה עפ"י חוק</t>
  </si>
  <si>
    <t>הצטידות כיתות חדשות בי"ס</t>
  </si>
  <si>
    <t>מתקני כושר חוף הים</t>
  </si>
  <si>
    <t>פיתוח חופי רחצה 2011</t>
  </si>
  <si>
    <t>פיתוח חופי רחצה 2012</t>
  </si>
  <si>
    <t>סככות צל לחוף זבולון</t>
  </si>
  <si>
    <t>אסדות הצלה לאופנועי ים</t>
  </si>
  <si>
    <t>רכישת ציוד והצלה חופי רחצה</t>
  </si>
  <si>
    <t>אופנוע ים לחופי רחצה</t>
  </si>
  <si>
    <t>שילוט בחופי רחצה</t>
  </si>
  <si>
    <t>פיתוח חופי רחצה 2014/2015</t>
  </si>
  <si>
    <t>גידור חופי רחצה</t>
  </si>
  <si>
    <t>רכישת ציוד טיפול זיהום חוף ים</t>
  </si>
  <si>
    <t>ציוד הצלה 2014</t>
  </si>
  <si>
    <t>אופנועי ים 2014</t>
  </si>
  <si>
    <t>רכב מיול כולל זיווד 2014</t>
  </si>
  <si>
    <t>שילוט חופים 2014</t>
  </si>
  <si>
    <t>סה"כ חופים</t>
  </si>
  <si>
    <t>תביעה -מרינה הרצליה</t>
  </si>
  <si>
    <t>מדידות נכסים לחיוב היטלי פיתוח</t>
  </si>
  <si>
    <t>בדיקות חיוב להיטלי פיתוח</t>
  </si>
  <si>
    <t>הפרשה בגין תביעות תלויות</t>
  </si>
  <si>
    <t>עלויות בקשר עם תביעה פרויקטים</t>
  </si>
  <si>
    <t>פרויקטים דחופים בצ"מ2013/2014</t>
  </si>
  <si>
    <t>הלוואה לטובת אוצר המדינה</t>
  </si>
  <si>
    <t>סה"כ כללי</t>
  </si>
  <si>
    <t>שימור רצועת החוף</t>
  </si>
  <si>
    <t>יער עירוני וגינות קהילתיות</t>
  </si>
  <si>
    <t>תוכ' אב להפחתת זיהום אויר</t>
  </si>
  <si>
    <t>הפרדה פסולת במקור</t>
  </si>
  <si>
    <t>הכנת תוכנית אב לקיימות בעיריית</t>
  </si>
  <si>
    <t>הטמעת עקרונות הקיימות בחינוך</t>
  </si>
  <si>
    <t>סה"כ איכות הסביבה</t>
  </si>
  <si>
    <t>פרויקט תכסיות וניתוח</t>
  </si>
  <si>
    <t>תשתיות תקשורת</t>
  </si>
  <si>
    <t>שדרוג תשתיות מידע</t>
  </si>
  <si>
    <t>תשתיות תקשו"ב מוס"ח</t>
  </si>
  <si>
    <t>שדרוג מערכות הליבה</t>
  </si>
  <si>
    <t>מחשב לכל גן</t>
  </si>
  <si>
    <t>שיפוץ דירות עמידר</t>
  </si>
  <si>
    <t>שיפוץ חזיתות "המרכז החדש"</t>
  </si>
  <si>
    <t>חזיתות בתים שיפוץ</t>
  </si>
  <si>
    <t>סה"כ שיפוץ חיזתות/בתים עמידר</t>
  </si>
  <si>
    <t>פצוי והפקעה 6523/64 הר' 1660 א'</t>
  </si>
  <si>
    <t>פצוי והפקעה ב-6525/6 הר' 1704</t>
  </si>
  <si>
    <t>פצוי והפקעה ת.הר/929 ו-6524</t>
  </si>
  <si>
    <t>רכישת חנויות במ.דגניה</t>
  </si>
  <si>
    <t>בית הרמלין-חלקה 92-גוש 6592</t>
  </si>
  <si>
    <t>פיצויי הפקעה - פארק הבאסה</t>
  </si>
  <si>
    <t>השבת חזקה מקרקעין 6527/379 קופ"ח</t>
  </si>
  <si>
    <t>עלויות רכישת מקרקעין</t>
  </si>
  <si>
    <t>פיצויי הפקעה הר'1941 פארק הבאסה</t>
  </si>
  <si>
    <t>פיצויי הפקעה 6525 חל' 66,75,74 אינבסטלום הולדינגס</t>
  </si>
  <si>
    <t>פיצויי הפקעה 6523 חל' 236,235,84 סהר יצחק</t>
  </si>
  <si>
    <t>פיצויי הפקעה גוש 6525 חל' 130,131</t>
  </si>
  <si>
    <t>דמי חכירה כלכליים 3 קיוסקים</t>
  </si>
  <si>
    <t>פיצוים יורשי ליאון יהודה</t>
  </si>
  <si>
    <t>תביעה להשבת מצב נכס "פנינת הרצליה"שכירות מוגנת</t>
  </si>
  <si>
    <t>תביעה פינוי גוש 6521 רחמים</t>
  </si>
  <si>
    <t>רכישת חנייה חניון "דיזנגוף"</t>
  </si>
  <si>
    <t>סה"כ נכסים וביטוח</t>
  </si>
  <si>
    <t>שד' מע.השקייה ממוחשבות מוס"ח</t>
  </si>
  <si>
    <t>המרכז החדש-ריהוט רחוב וגן</t>
  </si>
  <si>
    <t>הנגשת גינות ציבוריות</t>
  </si>
  <si>
    <t>הקמת גינות לכלבים</t>
  </si>
  <si>
    <t>סככות הצללה לגני משחקים</t>
  </si>
  <si>
    <t>שדרוג תשתיות משטחי גומי גינות</t>
  </si>
  <si>
    <t>נטיעת עצים ברחבי העיר</t>
  </si>
  <si>
    <t>שדרוג אי תנועה הרב קוק</t>
  </si>
  <si>
    <t>זריעת פרחי בר</t>
  </si>
  <si>
    <t>ריהוט משרד אגף שאיפה</t>
  </si>
  <si>
    <t>ריהוט רחוב</t>
  </si>
  <si>
    <t>סקר עצים מסוכנים ברחבי העיר</t>
  </si>
  <si>
    <t>סה"כ ש.א.י.פ.ה</t>
  </si>
  <si>
    <t>מערכת כבישים בא.ת.מערבי</t>
  </si>
  <si>
    <t>פתוח מתחם השמעוני תב"ע 1918</t>
  </si>
  <si>
    <t>מתחם שלמה המלך ומלכת אסתר</t>
  </si>
  <si>
    <t>פיתוח מתחם המסילה ודב הוז</t>
  </si>
  <si>
    <t>בית העלמין החדש</t>
  </si>
  <si>
    <t>מתחם המשתלה  תבע 1874</t>
  </si>
  <si>
    <t>פיתוח מתחם בנחלת עדה</t>
  </si>
  <si>
    <t>מתחם נורדאו וגן אל על</t>
  </si>
  <si>
    <t>עבודות פיתוח קטנות</t>
  </si>
  <si>
    <t>אולם ספורט בחט"ב סמדר</t>
  </si>
  <si>
    <t>מתחם זרובבל</t>
  </si>
  <si>
    <t>כצלנסון-פיתוח</t>
  </si>
  <si>
    <t>פיתוח רח' שבזי</t>
  </si>
  <si>
    <t>שביל בין רחוב המסילה לברנדיס</t>
  </si>
  <si>
    <t>מתחם אוצר הצמחים וראשונים</t>
  </si>
  <si>
    <t xml:space="preserve">הקמת בריכה ומרכז לאומנות </t>
  </si>
  <si>
    <t>כלביה</t>
  </si>
  <si>
    <t>מבנה תרבות במערב העיר</t>
  </si>
  <si>
    <t>עבודות פינוי ומיחזור הר' 1903</t>
  </si>
  <si>
    <t>הקמת מקווה רח' אהרון</t>
  </si>
  <si>
    <t>רח' שפינוזה</t>
  </si>
  <si>
    <t>אזור בטחון מד"א משטרה</t>
  </si>
  <si>
    <t>אגף סדנאות במוזיאון</t>
  </si>
  <si>
    <t>שבט צופים</t>
  </si>
  <si>
    <t>בניית גנ"י חדשיפ לפי חוק חינוך חינם</t>
  </si>
  <si>
    <t>בית הגמלאי</t>
  </si>
  <si>
    <t>הצטידות לבריכה ולמרכז אומנויות</t>
  </si>
  <si>
    <t>חדר שופטים בי"ס ראשונים</t>
  </si>
  <si>
    <t>תב"ע חוף הים</t>
  </si>
  <si>
    <t>שיקום רחוב רמות ים</t>
  </si>
  <si>
    <t>הצללה בחוף הים</t>
  </si>
  <si>
    <t>סה"כ החברה לפיתוח התיירות</t>
  </si>
  <si>
    <t>קע"פ</t>
  </si>
  <si>
    <t>אחרים</t>
  </si>
  <si>
    <t>ש.א.י.פ.ה</t>
  </si>
  <si>
    <t>חופים</t>
  </si>
  <si>
    <t>מתקני משחק ,ריהוט גן ומשטחי גומי</t>
  </si>
  <si>
    <t>איכות הסביבה</t>
  </si>
  <si>
    <t>שיפורים ברחוב השונית</t>
  </si>
  <si>
    <t>טיילת שובר גלים, תאורה</t>
  </si>
  <si>
    <t>מזח נכי צהל</t>
  </si>
  <si>
    <t>שדרוג מימשה לבני הרצליה</t>
  </si>
  <si>
    <t>מגרש חנייה אזורים</t>
  </si>
  <si>
    <t>פרויקטים דחופים בצ"מ 2015/2016</t>
  </si>
  <si>
    <t>ריכוז לפי אגפים/יחידות</t>
  </si>
  <si>
    <t>מרכיבי העלות</t>
  </si>
  <si>
    <t>מקורות מימון לפרויקט</t>
  </si>
  <si>
    <t>אגף/יחידה</t>
  </si>
  <si>
    <t>אומדן כולל לפרויקט</t>
  </si>
  <si>
    <t>תוספת לאומדן  לאישור מועצה</t>
  </si>
  <si>
    <t xml:space="preserve">יתרת תקציב 
</t>
  </si>
  <si>
    <t>מספר פרויקטים</t>
  </si>
  <si>
    <t xml:space="preserve">אגף הנדסה </t>
  </si>
  <si>
    <t>החב' לפיתוח הרצליה</t>
  </si>
  <si>
    <t xml:space="preserve">אגף ת.ב.ל </t>
  </si>
  <si>
    <t xml:space="preserve">אגף ש.א.י.פ.ה </t>
  </si>
  <si>
    <t xml:space="preserve">חופים </t>
  </si>
  <si>
    <t xml:space="preserve">איכות הסביבה </t>
  </si>
  <si>
    <t>החברה לפיתוח התיירות</t>
  </si>
  <si>
    <t xml:space="preserve">מח' נכסים וביטוח </t>
  </si>
  <si>
    <t xml:space="preserve">שיפוץ חזיתות/עמידר </t>
  </si>
  <si>
    <t xml:space="preserve">כללי </t>
  </si>
  <si>
    <t>סה"כ</t>
  </si>
  <si>
    <t>קרן עודפי ת.ר.</t>
  </si>
  <si>
    <t xml:space="preserve">יתרת מקורות מימון </t>
  </si>
  <si>
    <t>הפרש עודף (חוסר)</t>
  </si>
  <si>
    <t xml:space="preserve">תקציב מאושר  </t>
  </si>
  <si>
    <t>תב"ע לדיור בר השגה בשמשון הגיבור</t>
  </si>
  <si>
    <t>צפון הרצליה הר' 2035</t>
  </si>
  <si>
    <t>הסדרת שצ"פ למגורים הר' 2257</t>
  </si>
  <si>
    <t>פיתוח מתחם גליל ים הר' 1985 א'</t>
  </si>
  <si>
    <t>פיתוח מתחם המכללות הר' 1920/1</t>
  </si>
  <si>
    <t>פתוח מתחם הר' 1972 תחנה מרכזית</t>
  </si>
  <si>
    <t>גינת כלבים בפארק שלב א'</t>
  </si>
  <si>
    <t>מדרכה ליד בי"ס לאומנויות</t>
  </si>
  <si>
    <t>רחוב החרש</t>
  </si>
  <si>
    <t>חניון פדקו</t>
  </si>
  <si>
    <t>תכנון מבנה מעונות הסטודנטים</t>
  </si>
  <si>
    <t>סלים לספורטק</t>
  </si>
  <si>
    <t>שיקום האגם בפארק</t>
  </si>
  <si>
    <t>החברה לפיתוח הרצליה</t>
  </si>
  <si>
    <t>אגף הנדסה</t>
  </si>
  <si>
    <t>אגף ת.ב.ל</t>
  </si>
  <si>
    <t>אגף חינוך, רווחה וספורט</t>
  </si>
  <si>
    <t>החברה לפיתוח התיירות הרצליה</t>
  </si>
  <si>
    <t>הקמת בריכה לימודית במרכז הספורט החדש</t>
  </si>
  <si>
    <t>מחלקת נכסים וביטוח</t>
  </si>
  <si>
    <t>שיפוץ חזיתות/בתים עמידר</t>
  </si>
  <si>
    <t>כללי</t>
  </si>
  <si>
    <t>הצטידות תיכון "לחיים"</t>
  </si>
  <si>
    <t>שיפוץ ובינוי נכסים עירוניים כולל תשתיות</t>
  </si>
  <si>
    <t>זרובבל השלמת מדרכות בכביש 100</t>
  </si>
  <si>
    <t xml:space="preserve">מיזוג אוויר ושיפוץ אולם ספורט אלון </t>
  </si>
  <si>
    <t>שדרוג האצטדיון וחווית צפיה</t>
  </si>
  <si>
    <t xml:space="preserve">בניית ממדים בגני ילדים </t>
  </si>
  <si>
    <t xml:space="preserve">שיפורים ברחוב העוגן </t>
  </si>
  <si>
    <r>
      <t>שדרוג מערכת השקייה ממוחשבות (</t>
    </r>
    <r>
      <rPr>
        <b/>
        <sz val="11"/>
        <rFont val="David"/>
        <family val="2"/>
        <charset val="177"/>
      </rPr>
      <t>חדשים)</t>
    </r>
  </si>
  <si>
    <t>מבני ציבור רשות מתחם גליל ים</t>
  </si>
  <si>
    <t>מועדון פטנג בספורטק</t>
  </si>
  <si>
    <t>תב"ע קרית השחקים</t>
  </si>
  <si>
    <t>פית' מדרגות קיר תומך פנחס רוזן</t>
  </si>
  <si>
    <t>תכנון דיור בן ציון מיכאלי</t>
  </si>
  <si>
    <t>בניית הצללה בפארק</t>
  </si>
  <si>
    <t>מבנה ספח כולל שרותים בפארק</t>
  </si>
  <si>
    <t>תכנון גבעת התחמושת</t>
  </si>
  <si>
    <t>חניה ושצ"פ רח' הדקל</t>
  </si>
  <si>
    <t>פיתוח רח' צהל</t>
  </si>
  <si>
    <t>יתרה לביצוע עד 31.12.2015</t>
  </si>
  <si>
    <t>אומדן לביצוע שנת 2016</t>
  </si>
  <si>
    <t>אומדן לביצוע שנת 2017 ואילך</t>
  </si>
  <si>
    <t>תקציב נוסף נדרש במסגרת תוכנית עבודה2015</t>
  </si>
  <si>
    <t>תקציב נוסף נדרש מעבר לתוכנית עבודה2015</t>
  </si>
  <si>
    <t>סה"כ תקציב נוסף נדרש 2015</t>
  </si>
  <si>
    <t>יתרת תקציב פנויה 31.12.2015</t>
  </si>
  <si>
    <t>תקציב נדרש 2016</t>
  </si>
  <si>
    <t>הקמת חניון ציבורי רח' ספיר</t>
  </si>
  <si>
    <t>הקמת חניון ציבורי ליד סובארו</t>
  </si>
  <si>
    <t>שינוי רמזורים מדינת היהודים</t>
  </si>
  <si>
    <t>הצעת התקציב הבלתי רגיל לשנת 2016</t>
  </si>
  <si>
    <t>שיפוץ המקווה העירוני</t>
  </si>
  <si>
    <t>החלפת צ'ילרים אשכול פייס</t>
  </si>
  <si>
    <t>רכישת רכבים חדשים</t>
  </si>
  <si>
    <t>הצטיידות גנ"י ותיקים</t>
  </si>
  <si>
    <t>שיפוץ מרכז אגדה</t>
  </si>
  <si>
    <t>הקמת גינות בי"ס קהילתיות</t>
  </si>
  <si>
    <t>הנגשת כיתות ליקויי שמיעה תשע"ה</t>
  </si>
  <si>
    <t>אגף ש.א.י.פ.ה/חופים/איכות הסביבה</t>
  </si>
  <si>
    <t>עבודות פיתוח ושדרוג גן בארי</t>
  </si>
  <si>
    <t>פיצויי הפקעה פארק הבאסה - פס"ד</t>
  </si>
  <si>
    <t>פרוייקטים קשיחים</t>
  </si>
  <si>
    <t>סה"כ פרוייקטים קשיחים</t>
  </si>
  <si>
    <t>עבודות מתמשכות</t>
  </si>
  <si>
    <t>סה"כ עבודות מתמשכות</t>
  </si>
  <si>
    <t>פיצויים</t>
  </si>
  <si>
    <t>סה"כ פיצויים</t>
  </si>
  <si>
    <t>עבודות בביצוע</t>
  </si>
  <si>
    <t>סה"כ עבודות בביצוע</t>
  </si>
  <si>
    <t>עבודות בתכנון וביצוע</t>
  </si>
  <si>
    <t>סה"כ עבודות בתכנון וביצוע</t>
  </si>
  <si>
    <t>עבודות בתכנון</t>
  </si>
  <si>
    <t>סה"כ עבודות בתכנון</t>
  </si>
  <si>
    <t>תכנון עיר</t>
  </si>
  <si>
    <t>סה"כ תכנון עיר</t>
  </si>
  <si>
    <t>סה"כ התחדשות עירונית</t>
  </si>
  <si>
    <t>בית כנסת "אור זרוע" - תוספת קומה</t>
  </si>
  <si>
    <t>אולם ספורט חט"ב זאב</t>
  </si>
  <si>
    <t>הקמת הצללות בפארק</t>
  </si>
  <si>
    <t>בית ספר במתחם אלתרמן</t>
  </si>
  <si>
    <t>שצ"פים במורדי הגטאות</t>
  </si>
  <si>
    <t>מתנ"ס בנווה ישראל</t>
  </si>
  <si>
    <t>פארק גליל ים שלב א</t>
  </si>
  <si>
    <t>מימוש תכנית 2015 אוגוסט</t>
  </si>
  <si>
    <t>מימוש תכנית 2015 מעבר לאוגוסט</t>
  </si>
  <si>
    <t>רחבת בניין העירייה החדש</t>
  </si>
  <si>
    <t>זבוטינסקי</t>
  </si>
  <si>
    <t>גליל ים</t>
  </si>
  <si>
    <t>רב מכר</t>
  </si>
  <si>
    <t>אבוקה ומולדת</t>
  </si>
  <si>
    <t>בקרת רמזורים</t>
  </si>
  <si>
    <t>יהודה המכבי</t>
  </si>
  <si>
    <t>מגרשי טניס</t>
  </si>
  <si>
    <t>יעודי קרקע</t>
  </si>
  <si>
    <t>שכ"ט טיפול בתביעות</t>
  </si>
  <si>
    <t>תכנון דיור בר השגה בשכונת וויצמן</t>
  </si>
  <si>
    <t>תבעות קטנות</t>
  </si>
  <si>
    <t>זהר טל</t>
  </si>
  <si>
    <t>אומדנים לקבל מאביבה:</t>
  </si>
  <si>
    <t>ככרות ברח השונית</t>
  </si>
  <si>
    <t>מרינה לי עבור הרחובות וינגייט לילי וסטרומה</t>
  </si>
  <si>
    <t>שביל אופניים דרך ירושלים</t>
  </si>
  <si>
    <t>בר כוכבא עבודות ניקוז</t>
  </si>
  <si>
    <t>ככר בן גוריון הבנים</t>
  </si>
  <si>
    <t>תכנון נוריות צפון</t>
  </si>
  <si>
    <t xml:space="preserve">לקבל משמעון תשובה לגבי </t>
  </si>
  <si>
    <t>ככרות בשונית</t>
  </si>
  <si>
    <t>מרכז התחבורה החדש</t>
  </si>
  <si>
    <t>תל מיכל</t>
  </si>
  <si>
    <t>הסטת קירות אקוסטיים כביש 531</t>
  </si>
  <si>
    <t>תכנית אב לתחבורה</t>
  </si>
  <si>
    <t>תכנית מתאר ארצית להגנה על מצוקים</t>
  </si>
  <si>
    <t>סדר עדיפות</t>
  </si>
  <si>
    <t>מימוש מעבר לתכנית 2015</t>
  </si>
  <si>
    <t>אוגוסט</t>
  </si>
  <si>
    <t>ספטמבר</t>
  </si>
  <si>
    <t>בר כוכבא בהמשך</t>
  </si>
  <si>
    <t xml:space="preserve"> </t>
  </si>
  <si>
    <t>פינוי בינוי מול התחנה</t>
  </si>
  <si>
    <t>פינוי בינוי סוקולוב שד ירושלים</t>
  </si>
  <si>
    <t>שייך לחברה לפיתוח</t>
  </si>
  <si>
    <r>
      <t xml:space="preserve">פיתוח מתחם הר' 1903 </t>
    </r>
    <r>
      <rPr>
        <b/>
        <sz val="11"/>
        <rFont val="David"/>
        <family val="2"/>
        <charset val="177"/>
      </rPr>
      <t>(*) שינוי שם</t>
    </r>
  </si>
  <si>
    <t>עדיפות</t>
  </si>
  <si>
    <t>חובה</t>
  </si>
  <si>
    <t>דיור בר השגה</t>
  </si>
  <si>
    <t>עדיפות 2</t>
  </si>
  <si>
    <t>לסגירה</t>
  </si>
  <si>
    <t>סה"כ החברה לפיתוח</t>
  </si>
  <si>
    <t>חניונים ה.ר 1900-שינוי תב"ע</t>
  </si>
  <si>
    <t xml:space="preserve">סל עבור תכנונים שונים </t>
  </si>
  <si>
    <t>החלפת גגות אסבסט בנגריה, מחסן 2 ובמחלקת כבישים</t>
  </si>
  <si>
    <t xml:space="preserve">שדרוג החמ"ל העירוני לפי דרישות </t>
  </si>
  <si>
    <t>סל להתקנת מזגנים במוסדות עירייה</t>
  </si>
  <si>
    <t>סל לבינוי ושיפוץ נכסים עירוניים ע"פ דרישות שיועלו במהלך השנה</t>
  </si>
  <si>
    <t>סל לעבודות מיזוג במוסדות חינוך ע"פ הצורך</t>
  </si>
  <si>
    <t>סל לצביעת גני ילדים, כל גן אחת ל-3 שנים , כיום יש 140 גנ"י כ-50 גנ"י בשנה , עלות צביעת גן כ-18 אלף ₪</t>
  </si>
  <si>
    <t>סל לצביעת בתי ספר שאינם בניהול עצמי ע"פ דרישה- 4 בתי ספר לפי 150 אלף ₪ לבי"ס</t>
  </si>
  <si>
    <t>סל לשדרוג חצרות משטחי גומי ומתקני משחק - החלפה למתקנים חדשים והחלפת חלקים</t>
  </si>
  <si>
    <t>סל להצללות חדשות , החלפת יריעות וכו בהתאם לצורך במוסדות חינוך, גינות ונכסים עירוניים</t>
  </si>
  <si>
    <t>סל לאיטום גגות בבתי ספר וגנ"י ע"פ הצורך</t>
  </si>
  <si>
    <t>החלפת חול קבוע פעמיים בשנה ב-140 גנ"י ועוד החלפת חול בהתאם לצרכים, כ-1500 ₪ לפעם</t>
  </si>
  <si>
    <t>סל לתיקון ליקויי בטיחות במוסדות חינוך.</t>
  </si>
  <si>
    <t>שדרוג תאורה ותאורה חדשה  ע"פ תוכנית רב שנתית ל-3 שנים</t>
  </si>
  <si>
    <t>סל לעבודות שונות של גידור מוס"ח</t>
  </si>
  <si>
    <t>שדרוג ריהוט ב-15 גני ילדים ע"פ רשימה שתועבר במהלך השנה כ-20 אלף ₪ לגן</t>
  </si>
  <si>
    <t>בשנת 2016 ייערך סקר כבישים לקביעת סדרי קדימויות ,מהסקר תגזר תוכנית רב שנתית לשדרוג כבישים ומדרכות - הערכה כ-5 מיליון בשנה</t>
  </si>
  <si>
    <t>פרגולה וספסלי עצירה של הרכבת,שדרוג מתקנים ופרגולות,הוספת מתקני משחק, טיפול בשבילים גידור וטיפול במסלול אופניים</t>
  </si>
  <si>
    <t>הוגשה בקשה למשרד החינוך עבור לב טוב וגורדון , אושרו המטרים המבוקשים ע"י העירייה בלב טוב טרם התקבלה הרשאה- סכום אפשרי לאישור משרד החינוך כ-6 מיליוםן ₪</t>
  </si>
  <si>
    <t>שיקום אקולוגי אגם פארק הרצליה</t>
  </si>
  <si>
    <t>החלפת מזגנים באשכול פיס ואולם ספורט היובל קיימת הרשאה ממשרד התשתיות לשנת 2015. , בהמשך לדיון מול הגזברות הוגשה בקשה לניצול ההרשאה ב-2016</t>
  </si>
  <si>
    <t>הסכום הוגש למשרד החינוך השתתפות אפשרית 5.5 מיליון טרם התקבלה תשובה</t>
  </si>
  <si>
    <t>בניית 2 גנ"י חדשים במקום תות וגלבוע ובניית 2 גנ"י נוספים במקום קיימים ע"פ החלטת אגף חינוך לגבי המיקום</t>
  </si>
  <si>
    <t>החלפת צנרת מים וכיבוי אש בחט"ב זאב</t>
  </si>
  <si>
    <t>פרוייקטים קטנים רזרבה אגפית</t>
  </si>
  <si>
    <t>סל לפרויקטים קטנים ע"פ הצורך כרזרבה אגפית בהנחיית רה"ע ומנכ"ל</t>
  </si>
  <si>
    <t>שדרוג שרותים בגנ"י</t>
  </si>
  <si>
    <t>שדרוג חדרי שרותים בגנ"י ע"פ הצורך- 5 גנים</t>
  </si>
  <si>
    <t>החלפת גופי תאורה במגרשי ספורט</t>
  </si>
  <si>
    <t>החלפת גופי תאורה במגרשי ספורט- לבטיחותיים</t>
  </si>
  <si>
    <t>תיקון ליקויים לפי סקר כיבוי אש</t>
  </si>
  <si>
    <t>תיקון ליקויי כיבוי אש לפי סקר בבתי ספר</t>
  </si>
  <si>
    <t>שיפוצי בתי כנסת בתאום מול הנהלת העירייה</t>
  </si>
  <si>
    <t>סל להתקנת תמרורים מהבהבים  ע"פ הצורך</t>
  </si>
  <si>
    <t>סל לביצוע פרויקטים בהמשך להחלטות ועדת תנועה</t>
  </si>
  <si>
    <t>סל להסדרת חניונים בהמשך להחלטות ועדת תנועה</t>
  </si>
  <si>
    <t>ע"פ אומדן מכרז בהכנה לפני הנחה</t>
  </si>
  <si>
    <t>שיפוץ חטיבה צעירה בברנדייס</t>
  </si>
  <si>
    <t>סימון וספירת רכוש מדגמית עירונית באגפים ,בתי ספר גני ילדים השנה נדרש לסימון רכוש עירוני של המשרדים בשער העיר</t>
  </si>
  <si>
    <t>שדרוג משרדי אגף הרווחה בהתאם לתוכנית שתוגש במהלך השנה בהתאם לצורך - שאינם עוברים לבניין העירייה החדש</t>
  </si>
  <si>
    <t>לאחר ביצוע הגדלה ושיריון ותשלום ניתן לסגור התב"ר</t>
  </si>
  <si>
    <t>טרם בוצע יש שריון במערכת</t>
  </si>
  <si>
    <t>עובר לאגף תקשוב</t>
  </si>
  <si>
    <t>ניתן לסגור התב"ר</t>
  </si>
  <si>
    <t>לאחר תשלום חשבון סופי ניתן לסגור התב"ר</t>
  </si>
  <si>
    <t xml:space="preserve">תב"ר עובר לחברה לפיתוח </t>
  </si>
  <si>
    <t>יש להעביר את התב"ר לחברה לפיתוח</t>
  </si>
  <si>
    <t xml:space="preserve">שיפוצים שונים במתנ"ס יד התשעה </t>
  </si>
  <si>
    <t xml:space="preserve">שיפוץ הקונסרבטוריון- 100 אלש"ח, קירוי במתנ"ס -160 אלש"ח וחיפוי/ריצוף בספרייה במתנס- 50 אלש"ח </t>
  </si>
  <si>
    <t>שיפוץ שבט שחף - הוספת שירותים, חדרים אקוסטיים ועוד</t>
  </si>
  <si>
    <t>שיפוצים שונים במוסדות תנו"ס</t>
  </si>
  <si>
    <t>עדיפות עליונה וחשיבות גבוהה. צרכים קיימים , אחרת נלקח מרזרבות שונות.</t>
  </si>
  <si>
    <t>הוקפא ב- 2015 לטובת סלים</t>
  </si>
  <si>
    <t xml:space="preserve">עדיפות עליונה 4 </t>
  </si>
  <si>
    <t>הקמת מתחמי כושר</t>
  </si>
  <si>
    <t xml:space="preserve">מתקן סל - אולם נוף ים </t>
  </si>
  <si>
    <t>דרושים 2 סלים מעל היציע באולם הספורט נוף ים , כדי לאפשר שימוש אפקטיבי של שני חלקי האולם .</t>
  </si>
  <si>
    <t>עדיפות  9</t>
  </si>
  <si>
    <t>סה"כ תנו"ס</t>
  </si>
  <si>
    <t>חינוך</t>
  </si>
  <si>
    <t>הצטיידות מעבדות תיכון ראשונים</t>
  </si>
  <si>
    <t>סה"כ חינוך</t>
  </si>
  <si>
    <t>שילוט הכוונה למלונות מצומת הסירה למרינה</t>
  </si>
  <si>
    <t>חוף דרומי - כניסה לחוף וטיילת רחוב העוגן</t>
  </si>
  <si>
    <t xml:space="preserve">פיתוח משפך כניסה לחוף , פיתוח חנייה למתרחצים ופיתוח טיילת רחוב העוגן </t>
  </si>
  <si>
    <t xml:space="preserve">מכרז יצא ב- 2015. </t>
  </si>
  <si>
    <t>תב"ע מרינה</t>
  </si>
  <si>
    <t>תכנון תב"ע - שדרוג שובר גלים, הגדלת שטחים לחינוך ימי, גשר במרינה וביטול שצ"פ ב104</t>
  </si>
  <si>
    <t xml:space="preserve">תכנון פיתוח רחוב רמת ים </t>
  </si>
  <si>
    <t>תכנון רחוב רמת ים לרחוב תיירותי עם מדרך, תאורה, גינון בתי קפה ניידים שבילי אופניים ופתרון חניות.</t>
  </si>
  <si>
    <t>נספח א'</t>
  </si>
  <si>
    <t>ריהוט והצטיידות הכלבייה העירונית החדשה</t>
  </si>
  <si>
    <t>לסגירה לאחר ניצול היתרה</t>
  </si>
  <si>
    <t>נספח ג'</t>
  </si>
  <si>
    <t>פיתוח חופי רחצה 2016/2017</t>
  </si>
  <si>
    <t>נספח ב'</t>
  </si>
  <si>
    <t>רכישת מיול לתחזוקת חופי הרחצה</t>
  </si>
  <si>
    <t>החלפת צנרת קו ראשי חוף זבולון,נוף ים והסירות</t>
  </si>
  <si>
    <t>ע"פ הערכת מח' תחזוקה בתב"ל</t>
  </si>
  <si>
    <t>נספח ד'</t>
  </si>
  <si>
    <t>רכישת מתקנים לאיסוף פסולת אלקטרונית</t>
  </si>
  <si>
    <t>פרוייקט "הרצליה נקייה מאסבסט"</t>
  </si>
  <si>
    <t>נספח ה'</t>
  </si>
  <si>
    <t>תשתיות פס רחב חט"ב תיכונים ויסודיים</t>
  </si>
  <si>
    <t>הצטידות תקשוב</t>
  </si>
  <si>
    <t>פריסת סיבים אופטיים ברחבי העיר</t>
  </si>
  <si>
    <t>סה"כ 2016</t>
  </si>
  <si>
    <t>עדיפות א</t>
  </si>
  <si>
    <t>עדיפות ב</t>
  </si>
  <si>
    <t>סל לעבודות שונות במקלטים בהתאם לצורך</t>
  </si>
  <si>
    <t>מערכת התרעה לרעידת אדמה</t>
  </si>
  <si>
    <t>רכישה והתקנה של מערכת התרעה לרעידת אדמה בבתי ספר</t>
  </si>
  <si>
    <t>גנרטורים מושתקים לחרום</t>
  </si>
  <si>
    <t xml:space="preserve">רכישת 2 גנרטורים מושתקים לחרום, כיום הגנרטורים מרעישים , ישנים ,מדובר ברכישת גנרטורים להפעלת ציוד רחב יותר וחפ"ק בשטח </t>
  </si>
  <si>
    <t>הכשרת מגרש חניה בחוף הסירות</t>
  </si>
  <si>
    <t>החלפת גדרות בטיחות</t>
  </si>
  <si>
    <t>תנו"ס</t>
  </si>
  <si>
    <r>
      <t xml:space="preserve">שיקום שכונות עירוני וטיפול מרחב ציבורי </t>
    </r>
    <r>
      <rPr>
        <b/>
        <sz val="11"/>
        <rFont val="David"/>
        <family val="2"/>
        <charset val="177"/>
      </rPr>
      <t/>
    </r>
  </si>
  <si>
    <t>השלמת פיתוח רחוב משכית</t>
  </si>
  <si>
    <t>השלמת רחוב לאה גולדברג לפיתוח מלא</t>
  </si>
  <si>
    <t>המשך פרויקט פיתוח רחוב המסילה והשצ"פים במתחם-תוכנית תלת שנתית.</t>
  </si>
  <si>
    <t>השלמת השצ"פים במתחם</t>
  </si>
  <si>
    <t>המשך העבודות לפיתוח השצ"פ</t>
  </si>
  <si>
    <t>השלמת חניה בצמוד לגנ"י.</t>
  </si>
  <si>
    <t>השלמת העבודות במבנה העירייה החדש</t>
  </si>
  <si>
    <t>השלמת העבודות שנדרשו על ידי תאגיד בני הרצליה.</t>
  </si>
  <si>
    <t>השלמת השצ"פ</t>
  </si>
  <si>
    <t>השלמת תכנון</t>
  </si>
  <si>
    <t>השלמת עבודות סלילת הכביש במתחם.</t>
  </si>
  <si>
    <t xml:space="preserve">השלמת עבודות </t>
  </si>
  <si>
    <t>השלמת עבודות</t>
  </si>
  <si>
    <t>השלמת תכנון/שינוי תב"ע</t>
  </si>
  <si>
    <t>השלמת תכנון מלא/שינוי תב"עות</t>
  </si>
  <si>
    <t xml:space="preserve">פיתוח שצ"פ </t>
  </si>
  <si>
    <t>השלמת פארק דרום ופארק צפון.-באם תדחה השלמת הפרויקט לשנת 2017 יידרש חידוש ההיתר.</t>
  </si>
  <si>
    <t>הקמת קונסבטורין במערב העיר</t>
  </si>
  <si>
    <t>השלמת תכנון מלא לחלופה שתיבחר</t>
  </si>
  <si>
    <t>טיפול בשינוי תב"ע של חניוני אזה"ת</t>
  </si>
  <si>
    <t xml:space="preserve">שדרוג חצרות במוס"ח </t>
  </si>
  <si>
    <t>הצללות בי"ס ,גנ"י ,מוס' עירוניים ברחבי העיר</t>
  </si>
  <si>
    <t xml:space="preserve">הנגשת כיתות ליקויי שמיעה </t>
  </si>
  <si>
    <t xml:space="preserve">מיזוג אוויר אולמות ספורט </t>
  </si>
  <si>
    <r>
      <t xml:space="preserve">החלפת תאורה באולמות ספורט </t>
    </r>
    <r>
      <rPr>
        <b/>
        <sz val="11"/>
        <rFont val="David"/>
        <family val="2"/>
        <charset val="177"/>
      </rPr>
      <t>(*) (שינוי שם)</t>
    </r>
  </si>
  <si>
    <t xml:space="preserve">התקנת מצלמות בעיר </t>
  </si>
  <si>
    <t>הזרמת תקציב</t>
  </si>
  <si>
    <t>הפרש</t>
  </si>
  <si>
    <t>סה"כ ח. לפיתוח</t>
  </si>
  <si>
    <t>סה"כ הנדסה</t>
  </si>
  <si>
    <t>הזרמת תרקציב צפויה אוקטובר</t>
  </si>
  <si>
    <t>הזרמת תקציב פרטני</t>
  </si>
  <si>
    <t>אוקטובר</t>
  </si>
  <si>
    <t>תב"ר 1828 : ככל שתהא התחיבות יוזרם</t>
  </si>
  <si>
    <t>הזרמה פרטנית  צפויה אוקטובר</t>
  </si>
  <si>
    <t>פרטני אוגוסט</t>
  </si>
  <si>
    <t xml:space="preserve">הוצאות בקשר עם תביעות סעיף 197 </t>
  </si>
  <si>
    <t xml:space="preserve">חניונים ברחבי העיר </t>
  </si>
  <si>
    <t xml:space="preserve">צומת מנדבלט שמואל הנגיד </t>
  </si>
  <si>
    <t xml:space="preserve">בית כנסת שיכון דרום </t>
  </si>
  <si>
    <r>
      <t>מערכת לניהול ועדה מקומית</t>
    </r>
    <r>
      <rPr>
        <b/>
        <sz val="11"/>
        <rFont val="David"/>
        <family val="2"/>
        <charset val="177"/>
      </rPr>
      <t xml:space="preserve"> </t>
    </r>
  </si>
  <si>
    <t xml:space="preserve">מערכת בקרת רמזורים  </t>
  </si>
  <si>
    <t xml:space="preserve">תכנון בנייה ציבורית </t>
  </si>
  <si>
    <t xml:space="preserve">תכנון יהודה המכבי </t>
  </si>
  <si>
    <t xml:space="preserve">בקשות להיתר בלתי צפויות </t>
  </si>
  <si>
    <t xml:space="preserve">שביל אופניים הרצליה-ת"א הפקעות </t>
  </si>
  <si>
    <t xml:space="preserve">קשר גשר </t>
  </si>
  <si>
    <t xml:space="preserve">תכנון כיכר העיר </t>
  </si>
  <si>
    <t xml:space="preserve">תכנון דיור בר השגה ברב קוק </t>
  </si>
  <si>
    <t xml:space="preserve">תכנון דיור בר השגה בשכונת ויצמן </t>
  </si>
  <si>
    <t xml:space="preserve">תוכנית אסטרטגית לחידוש מרכזים מסחריים בשכונות </t>
  </si>
  <si>
    <t xml:space="preserve">הכנת תוכנית אב לשרותי חינוך וקהילה </t>
  </si>
  <si>
    <t>שיפוץ מועדון גמלאים בנוף ים בית מורשת</t>
  </si>
  <si>
    <t>העצמאות קטע בן גוריון קהילת צייון</t>
  </si>
  <si>
    <t>סה"כ אגף הנדסה</t>
  </si>
  <si>
    <t xml:space="preserve">פינוי בינוי צומת כדורי </t>
  </si>
  <si>
    <r>
      <t xml:space="preserve">הקמת בית אומנות וטבע בית קינן </t>
    </r>
    <r>
      <rPr>
        <b/>
        <sz val="11"/>
        <rFont val="David"/>
        <family val="2"/>
        <charset val="177"/>
      </rPr>
      <t>(*) שינוי שם</t>
    </r>
  </si>
  <si>
    <r>
      <t xml:space="preserve">תכנון רכבת עלית  איזור תעשיה </t>
    </r>
    <r>
      <rPr>
        <b/>
        <sz val="11"/>
        <rFont val="David"/>
        <family val="2"/>
        <charset val="177"/>
      </rPr>
      <t>(*) שינוי שם</t>
    </r>
  </si>
  <si>
    <t>המשך שלב ב' -בית ספר לב טוב  וגורדון</t>
  </si>
  <si>
    <t>בניית 4 גנ"י חדשים 2016/2017</t>
  </si>
  <si>
    <t xml:space="preserve">שיפוץ אגף החינוך </t>
  </si>
  <si>
    <t>סה"כ אגף ת.ב.ל</t>
  </si>
  <si>
    <t>עבודות הגנה על המצוקים וגידור חופים</t>
  </si>
  <si>
    <t xml:space="preserve">       סה"כ אגף מיחשוב</t>
  </si>
  <si>
    <t xml:space="preserve">קירוי והצללה מגרש ספורט הנגיד </t>
  </si>
  <si>
    <r>
      <t xml:space="preserve">נגישות לאנשים עם מוגבלויות </t>
    </r>
    <r>
      <rPr>
        <b/>
        <sz val="11"/>
        <rFont val="David"/>
        <family val="2"/>
        <charset val="177"/>
      </rPr>
      <t>(*) שינוי שם</t>
    </r>
  </si>
  <si>
    <r>
      <t xml:space="preserve">בית ספר גליל ים </t>
    </r>
    <r>
      <rPr>
        <b/>
        <sz val="11"/>
        <rFont val="David"/>
        <family val="2"/>
        <charset val="177"/>
      </rPr>
      <t>(*) שינוי שם</t>
    </r>
  </si>
  <si>
    <t>תב"עות הר 1985 ג,ד,ה</t>
  </si>
  <si>
    <t>תב"ע דרום אפולוניה</t>
  </si>
  <si>
    <t>תב"ע תחנה מרכזית זמנית חדשה</t>
  </si>
  <si>
    <t>מבנה טהרה והספדים בית עלמין חדש</t>
  </si>
  <si>
    <t>הנגשה ביוחנני (כולל מעלית)</t>
  </si>
  <si>
    <r>
      <t xml:space="preserve">שימור אתרים </t>
    </r>
    <r>
      <rPr>
        <b/>
        <sz val="11"/>
        <rFont val="David"/>
        <family val="2"/>
        <charset val="177"/>
      </rPr>
      <t xml:space="preserve">(*) שינוי שם </t>
    </r>
  </si>
  <si>
    <r>
      <t>שיקום ,שד' ,הק' ונגישות גינות ציבוריות (</t>
    </r>
    <r>
      <rPr>
        <b/>
        <sz val="11"/>
        <rFont val="David"/>
        <family val="2"/>
        <charset val="177"/>
      </rPr>
      <t>נגישות )</t>
    </r>
  </si>
  <si>
    <t>רכישת 2 טרקטורים רשות החופים ועגלת הייבר</t>
  </si>
  <si>
    <t>עגלות הזנקה לחסקה ל-7 תחנות  הצלה</t>
  </si>
  <si>
    <t>שיפוץ ב"מ ספריה+חניון גוש 6532  חל' 346</t>
  </si>
  <si>
    <t>רכ' חז' חנות ד.מ.6670 חל 269 פינקו</t>
  </si>
  <si>
    <t>סה"כ אגף פיקוח</t>
  </si>
  <si>
    <t>בניה חדשה בבי"ס אופק ונתיב</t>
  </si>
  <si>
    <t>אגף מיחשוב ומערכות מידע</t>
  </si>
  <si>
    <t>אגף בטחון, פיקוח וסדר ציבורי</t>
  </si>
  <si>
    <t xml:space="preserve">אגף מיחשוב ומע. מידע </t>
  </si>
  <si>
    <t>אגף חינוך רווחה וספורט</t>
  </si>
  <si>
    <t>סה"כ חינוך ותנו"ס</t>
  </si>
  <si>
    <t>ליווי תשתיות לאומיות כביש 531</t>
  </si>
  <si>
    <t>כיכרות ברח' השונית (מ. התחבורה)</t>
  </si>
  <si>
    <t>הר' 2195 התחדשות עירונית יד 9</t>
  </si>
  <si>
    <t>25.10.15</t>
  </si>
  <si>
    <t>עדכון נתונים מסומן</t>
  </si>
  <si>
    <t>בצהוב בהתאם לדוח אוטומציה</t>
  </si>
  <si>
    <t>פיתוח מתחם מתנ"ס בנווה עמל (כולל מ. טניס)</t>
  </si>
  <si>
    <r>
      <t xml:space="preserve">החלפת פנסים ומנגנונים ברמזורים  </t>
    </r>
    <r>
      <rPr>
        <b/>
        <sz val="11"/>
        <rFont val="David"/>
        <family val="2"/>
        <charset val="177"/>
      </rPr>
      <t>(*) (שינוי שם)</t>
    </r>
  </si>
  <si>
    <t>אגף בטחון,פיקוח סדר ציבורי</t>
  </si>
  <si>
    <r>
      <t xml:space="preserve">שיפוץ מבני תרבות עירוניים </t>
    </r>
    <r>
      <rPr>
        <b/>
        <sz val="11"/>
        <rFont val="David"/>
        <family val="2"/>
        <charset val="177"/>
      </rPr>
      <t>(*) שינוי שם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</si>
</sst>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"/>
  </numFmts>
  <fonts count="22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David"/>
      <family val="2"/>
      <charset val="177"/>
    </font>
    <font>
      <sz val="9"/>
      <name val="David"/>
      <family val="2"/>
      <charset val="177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David"/>
      <family val="2"/>
      <charset val="177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8">
    <xf numFmtId="0" fontId="0" fillId="0" borderId="0"/>
    <xf numFmtId="0" fontId="3" fillId="0" borderId="0"/>
    <xf numFmtId="0" fontId="9" fillId="0" borderId="0">
      <alignment vertical="top"/>
    </xf>
    <xf numFmtId="0" fontId="3" fillId="2" borderId="1" applyNumberFormat="0" applyFont="0" applyAlignment="0" applyProtection="0"/>
    <xf numFmtId="0" fontId="10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</cellStyleXfs>
  <cellXfs count="26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/>
    <xf numFmtId="0" fontId="6" fillId="0" borderId="0" xfId="0" applyFont="1" applyAlignment="1"/>
    <xf numFmtId="0" fontId="6" fillId="0" borderId="0" xfId="0" applyFont="1"/>
    <xf numFmtId="0" fontId="5" fillId="0" borderId="2" xfId="0" applyFont="1" applyFill="1" applyBorder="1" applyAlignment="1">
      <alignment vertical="center" wrapText="1"/>
    </xf>
    <xf numFmtId="0" fontId="11" fillId="0" borderId="0" xfId="4" applyFont="1" applyBorder="1"/>
    <xf numFmtId="0" fontId="11" fillId="0" borderId="0" xfId="4" applyFont="1" applyBorder="1" applyAlignment="1">
      <alignment horizontal="right" vertical="center" wrapText="1"/>
    </xf>
    <xf numFmtId="0" fontId="11" fillId="0" borderId="0" xfId="4" applyFont="1" applyBorder="1" applyAlignment="1">
      <alignment horizontal="right" vertical="center"/>
    </xf>
    <xf numFmtId="0" fontId="11" fillId="0" borderId="0" xfId="4" applyFont="1" applyBorder="1" applyAlignment="1">
      <alignment vertical="center"/>
    </xf>
    <xf numFmtId="0" fontId="8" fillId="0" borderId="2" xfId="4" applyFont="1" applyBorder="1" applyAlignment="1">
      <alignment horizontal="right" vertical="center" wrapText="1"/>
    </xf>
    <xf numFmtId="0" fontId="8" fillId="0" borderId="0" xfId="4" applyFont="1" applyBorder="1"/>
    <xf numFmtId="0" fontId="8" fillId="0" borderId="2" xfId="4" applyFont="1" applyBorder="1"/>
    <xf numFmtId="0" fontId="8" fillId="0" borderId="2" xfId="4" applyFont="1" applyBorder="1" applyAlignment="1">
      <alignment vertical="center" wrapText="1"/>
    </xf>
    <xf numFmtId="0" fontId="8" fillId="0" borderId="0" xfId="4" applyFont="1" applyBorder="1" applyAlignment="1">
      <alignment vertical="center" wrapText="1"/>
    </xf>
    <xf numFmtId="3" fontId="5" fillId="0" borderId="2" xfId="4" applyNumberFormat="1" applyFont="1" applyBorder="1" applyAlignment="1">
      <alignment horizontal="right" vertical="top"/>
    </xf>
    <xf numFmtId="3" fontId="7" fillId="0" borderId="2" xfId="4" applyNumberFormat="1" applyFont="1" applyBorder="1"/>
    <xf numFmtId="0" fontId="7" fillId="0" borderId="0" xfId="4" applyFont="1" applyBorder="1" applyAlignment="1">
      <alignment vertical="center"/>
    </xf>
    <xf numFmtId="0" fontId="7" fillId="0" borderId="2" xfId="4" applyFont="1" applyBorder="1"/>
    <xf numFmtId="3" fontId="7" fillId="0" borderId="2" xfId="4" applyNumberFormat="1" applyFont="1" applyBorder="1" applyAlignment="1">
      <alignment vertical="center" wrapText="1"/>
    </xf>
    <xf numFmtId="0" fontId="7" fillId="0" borderId="2" xfId="4" applyFont="1" applyBorder="1" applyAlignment="1">
      <alignment vertical="center"/>
    </xf>
    <xf numFmtId="3" fontId="5" fillId="0" borderId="2" xfId="4" applyNumberFormat="1" applyFont="1" applyFill="1" applyBorder="1"/>
    <xf numFmtId="3" fontId="7" fillId="0" borderId="2" xfId="4" applyNumberFormat="1" applyFont="1" applyBorder="1" applyAlignment="1">
      <alignment vertical="center"/>
    </xf>
    <xf numFmtId="3" fontId="8" fillId="0" borderId="2" xfId="4" applyNumberFormat="1" applyFont="1" applyBorder="1"/>
    <xf numFmtId="3" fontId="8" fillId="0" borderId="9" xfId="4" applyNumberFormat="1" applyFont="1" applyBorder="1"/>
    <xf numFmtId="0" fontId="8" fillId="0" borderId="0" xfId="4" applyFont="1" applyBorder="1" applyAlignment="1">
      <alignment vertical="center"/>
    </xf>
    <xf numFmtId="0" fontId="7" fillId="0" borderId="0" xfId="4" applyFont="1" applyBorder="1"/>
    <xf numFmtId="3" fontId="7" fillId="0" borderId="0" xfId="4" applyNumberFormat="1" applyFont="1" applyBorder="1"/>
    <xf numFmtId="3" fontId="7" fillId="0" borderId="0" xfId="4" applyNumberFormat="1" applyFont="1" applyBorder="1" applyAlignment="1">
      <alignment vertical="center" wrapText="1"/>
    </xf>
    <xf numFmtId="0" fontId="7" fillId="0" borderId="0" xfId="4" applyFont="1" applyBorder="1" applyAlignment="1">
      <alignment horizontal="right" vertical="center" wrapText="1"/>
    </xf>
    <xf numFmtId="0" fontId="7" fillId="0" borderId="0" xfId="4" applyFont="1" applyBorder="1" applyAlignment="1">
      <alignment horizontal="right" vertical="center"/>
    </xf>
    <xf numFmtId="0" fontId="7" fillId="0" borderId="10" xfId="4" applyFont="1" applyBorder="1" applyAlignment="1">
      <alignment horizontal="right" vertical="center"/>
    </xf>
    <xf numFmtId="0" fontId="7" fillId="0" borderId="11" xfId="4" applyFont="1" applyBorder="1" applyAlignment="1">
      <alignment horizontal="right" vertical="center"/>
    </xf>
    <xf numFmtId="0" fontId="8" fillId="0" borderId="2" xfId="4" applyFont="1" applyBorder="1" applyAlignment="1">
      <alignment horizontal="right" vertical="center"/>
    </xf>
    <xf numFmtId="0" fontId="7" fillId="0" borderId="9" xfId="4" applyFont="1" applyBorder="1"/>
    <xf numFmtId="0" fontId="7" fillId="0" borderId="5" xfId="4" applyFont="1" applyBorder="1" applyAlignment="1">
      <alignment vertical="center"/>
    </xf>
    <xf numFmtId="0" fontId="7" fillId="0" borderId="6" xfId="4" applyFont="1" applyBorder="1" applyAlignment="1">
      <alignment vertical="center"/>
    </xf>
    <xf numFmtId="3" fontId="8" fillId="0" borderId="2" xfId="4" applyNumberFormat="1" applyFont="1" applyBorder="1" applyAlignment="1">
      <alignment horizontal="right" vertical="center"/>
    </xf>
    <xf numFmtId="3" fontId="8" fillId="0" borderId="0" xfId="4" applyNumberFormat="1" applyFont="1" applyBorder="1" applyAlignment="1">
      <alignment horizontal="right" vertical="center"/>
    </xf>
    <xf numFmtId="0" fontId="8" fillId="0" borderId="12" xfId="4" applyFont="1" applyBorder="1" applyAlignment="1">
      <alignment horizontal="center" vertical="center"/>
    </xf>
    <xf numFmtId="0" fontId="7" fillId="0" borderId="13" xfId="4" applyFont="1" applyBorder="1" applyAlignment="1">
      <alignment horizontal="right" vertical="center"/>
    </xf>
    <xf numFmtId="0" fontId="8" fillId="0" borderId="6" xfId="4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3" fontId="7" fillId="0" borderId="0" xfId="4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6" fillId="0" borderId="0" xfId="9" applyNumberFormat="1" applyFont="1"/>
    <xf numFmtId="164" fontId="6" fillId="0" borderId="0" xfId="0" applyNumberFormat="1" applyFont="1"/>
    <xf numFmtId="0" fontId="4" fillId="0" borderId="0" xfId="0" applyFont="1" applyAlignment="1"/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6" fillId="0" borderId="0" xfId="0" applyNumberFormat="1" applyFont="1" applyAlignment="1"/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Fill="1"/>
    <xf numFmtId="3" fontId="5" fillId="0" borderId="2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6" fillId="0" borderId="0" xfId="0" applyFont="1" applyFill="1"/>
    <xf numFmtId="0" fontId="4" fillId="0" borderId="3" xfId="0" applyFont="1" applyBorder="1" applyAlignment="1">
      <alignment vertical="center" wrapText="1"/>
    </xf>
    <xf numFmtId="3" fontId="6" fillId="3" borderId="0" xfId="0" applyNumberFormat="1" applyFont="1" applyFill="1"/>
    <xf numFmtId="3" fontId="6" fillId="0" borderId="15" xfId="0" applyNumberFormat="1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6" fillId="0" borderId="2" xfId="0" applyFont="1" applyBorder="1"/>
    <xf numFmtId="3" fontId="6" fillId="0" borderId="2" xfId="0" applyNumberFormat="1" applyFont="1" applyBorder="1"/>
    <xf numFmtId="3" fontId="6" fillId="0" borderId="2" xfId="0" applyNumberFormat="1" applyFont="1" applyFill="1" applyBorder="1"/>
    <xf numFmtId="0" fontId="6" fillId="0" borderId="15" xfId="0" applyFont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3" fontId="6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wrapText="1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64" fontId="6" fillId="0" borderId="0" xfId="10" applyNumberFormat="1" applyFont="1" applyAlignment="1">
      <alignment wrapText="1"/>
    </xf>
    <xf numFmtId="0" fontId="6" fillId="4" borderId="0" xfId="0" applyFont="1" applyFill="1" applyAlignment="1"/>
    <xf numFmtId="0" fontId="6" fillId="4" borderId="0" xfId="0" applyFont="1" applyFill="1"/>
    <xf numFmtId="3" fontId="6" fillId="4" borderId="0" xfId="0" applyNumberFormat="1" applyFont="1" applyFill="1"/>
    <xf numFmtId="0" fontId="4" fillId="4" borderId="0" xfId="0" applyFont="1" applyFill="1" applyAlignment="1"/>
    <xf numFmtId="0" fontId="5" fillId="4" borderId="2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2" xfId="0" applyFont="1" applyFill="1" applyBorder="1"/>
    <xf numFmtId="0" fontId="5" fillId="4" borderId="2" xfId="0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2" xfId="0" applyFont="1" applyFill="1" applyBorder="1" applyAlignment="1">
      <alignment vertical="center"/>
    </xf>
    <xf numFmtId="3" fontId="4" fillId="0" borderId="0" xfId="4" applyNumberFormat="1" applyFont="1"/>
    <xf numFmtId="0" fontId="4" fillId="0" borderId="0" xfId="4" applyFont="1"/>
    <xf numFmtId="0" fontId="4" fillId="0" borderId="0" xfId="4" applyFont="1" applyAlignment="1"/>
    <xf numFmtId="0" fontId="6" fillId="0" borderId="0" xfId="4" applyFont="1"/>
    <xf numFmtId="0" fontId="6" fillId="0" borderId="0" xfId="4" applyFont="1" applyAlignment="1"/>
    <xf numFmtId="0" fontId="5" fillId="0" borderId="2" xfId="4" applyFont="1" applyBorder="1" applyAlignment="1">
      <alignment horizontal="right" vertical="center" wrapText="1"/>
    </xf>
    <xf numFmtId="0" fontId="5" fillId="0" borderId="2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 wrapText="1"/>
    </xf>
    <xf numFmtId="0" fontId="6" fillId="0" borderId="3" xfId="4" applyFont="1" applyBorder="1" applyAlignment="1">
      <alignment vertical="center" wrapText="1"/>
    </xf>
    <xf numFmtId="3" fontId="6" fillId="0" borderId="3" xfId="4" applyNumberFormat="1" applyFont="1" applyBorder="1" applyAlignment="1">
      <alignment vertical="center" wrapText="1"/>
    </xf>
    <xf numFmtId="0" fontId="6" fillId="0" borderId="3" xfId="4" applyFont="1" applyBorder="1" applyAlignment="1">
      <alignment vertical="center"/>
    </xf>
    <xf numFmtId="0" fontId="6" fillId="0" borderId="0" xfId="4" applyFont="1" applyAlignment="1">
      <alignment vertical="center" wrapText="1"/>
    </xf>
    <xf numFmtId="3" fontId="8" fillId="0" borderId="2" xfId="4" applyNumberFormat="1" applyFont="1" applyBorder="1" applyAlignment="1">
      <alignment vertical="center" wrapText="1"/>
    </xf>
    <xf numFmtId="0" fontId="8" fillId="0" borderId="2" xfId="4" applyFont="1" applyBorder="1" applyAlignment="1">
      <alignment vertical="center"/>
    </xf>
    <xf numFmtId="0" fontId="8" fillId="0" borderId="0" xfId="4" applyFont="1" applyAlignment="1">
      <alignment vertical="center" wrapText="1"/>
    </xf>
    <xf numFmtId="0" fontId="6" fillId="0" borderId="2" xfId="4" applyFont="1" applyFill="1" applyBorder="1" applyAlignment="1">
      <alignment vertical="center" wrapText="1"/>
    </xf>
    <xf numFmtId="3" fontId="6" fillId="0" borderId="2" xfId="4" applyNumberFormat="1" applyFont="1" applyFill="1" applyBorder="1" applyAlignment="1">
      <alignment vertical="center" wrapText="1"/>
    </xf>
    <xf numFmtId="0" fontId="17" fillId="0" borderId="2" xfId="4" applyFont="1" applyFill="1" applyBorder="1" applyAlignment="1">
      <alignment vertical="center" wrapText="1"/>
    </xf>
    <xf numFmtId="0" fontId="6" fillId="0" borderId="0" xfId="4" applyFont="1" applyFill="1" applyAlignment="1">
      <alignment vertical="center" wrapText="1"/>
    </xf>
    <xf numFmtId="0" fontId="6" fillId="0" borderId="2" xfId="4" applyFont="1" applyFill="1" applyBorder="1" applyAlignment="1">
      <alignment vertical="center"/>
    </xf>
    <xf numFmtId="0" fontId="6" fillId="0" borderId="2" xfId="4" applyFont="1" applyBorder="1" applyAlignment="1">
      <alignment vertical="center" wrapText="1"/>
    </xf>
    <xf numFmtId="3" fontId="6" fillId="0" borderId="2" xfId="4" applyNumberFormat="1" applyFont="1" applyBorder="1" applyAlignment="1">
      <alignment vertical="center" wrapText="1"/>
    </xf>
    <xf numFmtId="0" fontId="6" fillId="0" borderId="2" xfId="4" applyFont="1" applyBorder="1" applyAlignment="1">
      <alignment vertical="center"/>
    </xf>
    <xf numFmtId="0" fontId="5" fillId="0" borderId="2" xfId="4" applyFont="1" applyBorder="1" applyAlignment="1">
      <alignment vertical="center"/>
    </xf>
    <xf numFmtId="0" fontId="5" fillId="0" borderId="2" xfId="4" applyFont="1" applyFill="1" applyBorder="1" applyAlignment="1">
      <alignment vertical="center" wrapText="1"/>
    </xf>
    <xf numFmtId="0" fontId="6" fillId="0" borderId="2" xfId="4" applyFont="1" applyBorder="1"/>
    <xf numFmtId="165" fontId="6" fillId="0" borderId="2" xfId="11" applyNumberFormat="1" applyFont="1" applyBorder="1" applyAlignment="1">
      <alignment vertical="center" wrapText="1"/>
    </xf>
    <xf numFmtId="0" fontId="5" fillId="0" borderId="0" xfId="4" applyFont="1" applyAlignment="1"/>
    <xf numFmtId="0" fontId="5" fillId="0" borderId="2" xfId="4" applyFont="1" applyBorder="1"/>
    <xf numFmtId="3" fontId="5" fillId="0" borderId="2" xfId="4" applyNumberFormat="1" applyFont="1" applyBorder="1"/>
    <xf numFmtId="0" fontId="5" fillId="0" borderId="2" xfId="4" applyFont="1" applyBorder="1" applyAlignment="1"/>
    <xf numFmtId="0" fontId="5" fillId="0" borderId="0" xfId="4" applyFont="1"/>
    <xf numFmtId="3" fontId="6" fillId="0" borderId="0" xfId="4" applyNumberFormat="1" applyFont="1"/>
    <xf numFmtId="3" fontId="6" fillId="0" borderId="0" xfId="4" applyNumberFormat="1" applyFont="1" applyAlignment="1">
      <alignment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3" fontId="6" fillId="0" borderId="0" xfId="0" applyNumberFormat="1" applyFont="1" applyBorder="1"/>
    <xf numFmtId="0" fontId="6" fillId="0" borderId="2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3" fontId="6" fillId="4" borderId="0" xfId="0" applyNumberFormat="1" applyFont="1" applyFill="1" applyBorder="1" applyAlignment="1">
      <alignment wrapText="1"/>
    </xf>
    <xf numFmtId="164" fontId="6" fillId="0" borderId="0" xfId="10" applyNumberFormat="1" applyFont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18" fillId="0" borderId="0" xfId="0" applyFont="1"/>
    <xf numFmtId="3" fontId="16" fillId="0" borderId="0" xfId="0" applyNumberFormat="1" applyFont="1" applyAlignment="1">
      <alignment horizontal="center"/>
    </xf>
    <xf numFmtId="0" fontId="6" fillId="0" borderId="16" xfId="0" applyFont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0" fillId="0" borderId="0" xfId="0" applyFill="1"/>
    <xf numFmtId="0" fontId="5" fillId="0" borderId="4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3" fontId="5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4" applyFont="1" applyBorder="1" applyAlignment="1">
      <alignment horizontal="right" vertical="center"/>
    </xf>
    <xf numFmtId="0" fontId="8" fillId="0" borderId="3" xfId="4" applyFont="1" applyBorder="1" applyAlignment="1">
      <alignment horizontal="right" vertical="center"/>
    </xf>
    <xf numFmtId="0" fontId="7" fillId="0" borderId="3" xfId="4" applyFont="1" applyBorder="1" applyAlignment="1">
      <alignment horizontal="right" vertical="center"/>
    </xf>
    <xf numFmtId="0" fontId="7" fillId="0" borderId="4" xfId="4" applyFont="1" applyBorder="1" applyAlignment="1">
      <alignment horizontal="right" vertical="center"/>
    </xf>
    <xf numFmtId="0" fontId="7" fillId="0" borderId="6" xfId="4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20" fillId="0" borderId="0" xfId="0" applyFont="1" applyAlignment="1"/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wrapText="1"/>
    </xf>
    <xf numFmtId="3" fontId="5" fillId="0" borderId="14" xfId="0" applyNumberFormat="1" applyFont="1" applyBorder="1" applyAlignment="1">
      <alignment vertical="center" wrapText="1"/>
    </xf>
    <xf numFmtId="0" fontId="5" fillId="0" borderId="0" xfId="4" applyFont="1" applyBorder="1"/>
    <xf numFmtId="3" fontId="5" fillId="0" borderId="0" xfId="4" applyNumberFormat="1" applyFont="1" applyBorder="1"/>
    <xf numFmtId="0" fontId="5" fillId="0" borderId="0" xfId="4" applyFont="1" applyBorder="1" applyAlignment="1"/>
    <xf numFmtId="3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2" xfId="0" applyFont="1" applyBorder="1"/>
    <xf numFmtId="0" fontId="19" fillId="0" borderId="2" xfId="0" applyFont="1" applyFill="1" applyBorder="1"/>
    <xf numFmtId="3" fontId="5" fillId="0" borderId="2" xfId="0" applyNumberFormat="1" applyFont="1" applyFill="1" applyBorder="1"/>
    <xf numFmtId="0" fontId="19" fillId="0" borderId="0" xfId="0" applyFont="1" applyFill="1"/>
    <xf numFmtId="3" fontId="6" fillId="0" borderId="4" xfId="0" applyNumberFormat="1" applyFont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wrapText="1"/>
    </xf>
    <xf numFmtId="3" fontId="6" fillId="3" borderId="2" xfId="0" applyNumberFormat="1" applyFont="1" applyFill="1" applyBorder="1" applyAlignment="1">
      <alignment vertical="center" wrapText="1"/>
    </xf>
    <xf numFmtId="3" fontId="6" fillId="3" borderId="15" xfId="0" applyNumberFormat="1" applyFont="1" applyFill="1" applyBorder="1" applyAlignment="1">
      <alignment vertical="center" wrapText="1"/>
    </xf>
    <xf numFmtId="0" fontId="8" fillId="0" borderId="2" xfId="4" applyFont="1" applyBorder="1"/>
    <xf numFmtId="3" fontId="7" fillId="0" borderId="2" xfId="4" applyNumberFormat="1" applyFont="1" applyBorder="1"/>
    <xf numFmtId="3" fontId="7" fillId="0" borderId="2" xfId="4" applyNumberFormat="1" applyFont="1" applyBorder="1" applyAlignment="1">
      <alignment vertical="center"/>
    </xf>
    <xf numFmtId="3" fontId="8" fillId="0" borderId="2" xfId="4" applyNumberFormat="1" applyFont="1" applyBorder="1"/>
    <xf numFmtId="0" fontId="6" fillId="3" borderId="6" xfId="0" applyFont="1" applyFill="1" applyBorder="1" applyAlignment="1">
      <alignment vertical="center" wrapText="1"/>
    </xf>
    <xf numFmtId="43" fontId="6" fillId="0" borderId="0" xfId="12" applyFont="1"/>
    <xf numFmtId="164" fontId="6" fillId="4" borderId="0" xfId="9" applyNumberFormat="1" applyFont="1" applyFill="1"/>
    <xf numFmtId="164" fontId="6" fillId="4" borderId="0" xfId="0" applyNumberFormat="1" applyFont="1" applyFill="1"/>
    <xf numFmtId="166" fontId="6" fillId="0" borderId="0" xfId="0" applyNumberFormat="1" applyFont="1"/>
    <xf numFmtId="0" fontId="6" fillId="4" borderId="2" xfId="0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3" fontId="5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4" applyFont="1" applyAlignment="1">
      <alignment horizontal="center"/>
    </xf>
    <xf numFmtId="0" fontId="12" fillId="0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</cellXfs>
  <cellStyles count="18">
    <cellStyle name="Comma" xfId="12" builtinId="3"/>
    <cellStyle name="Comma 2" xfId="11"/>
    <cellStyle name="Normal" xfId="0" builtinId="0"/>
    <cellStyle name="Normal 2" xfId="1"/>
    <cellStyle name="Normal 2 2" xfId="5"/>
    <cellStyle name="Normal 2 2 2" xfId="16"/>
    <cellStyle name="Normal 2 3" xfId="14"/>
    <cellStyle name="Normal 2_ריכוז אגפים" xfId="6"/>
    <cellStyle name="Normal 3" xfId="2"/>
    <cellStyle name="Normal 4" xfId="4"/>
    <cellStyle name="Normal 5" xfId="13"/>
    <cellStyle name="Percent" xfId="9" builtinId="5"/>
    <cellStyle name="Percent 2" xfId="10"/>
    <cellStyle name="הערה 2" xfId="3"/>
    <cellStyle name="הערה 2 2" xfId="7"/>
    <cellStyle name="הערה 2 2 2" xfId="17"/>
    <cellStyle name="הערה 2 3" xfId="15"/>
    <cellStyle name="הערה 2_ריכוז אגפים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http://localhost:80/ibmcognos/common/images/filt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70</xdr:row>
      <xdr:rowOff>0</xdr:rowOff>
    </xdr:from>
    <xdr:to>
      <xdr:col>28</xdr:col>
      <xdr:colOff>152400</xdr:colOff>
      <xdr:row>70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17929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152400</xdr:colOff>
      <xdr:row>97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12307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246</xdr:row>
      <xdr:rowOff>0</xdr:rowOff>
    </xdr:from>
    <xdr:to>
      <xdr:col>26</xdr:col>
      <xdr:colOff>152400</xdr:colOff>
      <xdr:row>246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55480" y="56106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5168760" y="60838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75</xdr:row>
      <xdr:rowOff>0</xdr:rowOff>
    </xdr:from>
    <xdr:to>
      <xdr:col>28</xdr:col>
      <xdr:colOff>152400</xdr:colOff>
      <xdr:row>75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17929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12307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88</xdr:row>
      <xdr:rowOff>0</xdr:rowOff>
    </xdr:from>
    <xdr:to>
      <xdr:col>28</xdr:col>
      <xdr:colOff>152400</xdr:colOff>
      <xdr:row>88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117929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230200" y="123072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61</xdr:row>
      <xdr:rowOff>0</xdr:rowOff>
    </xdr:from>
    <xdr:to>
      <xdr:col>28</xdr:col>
      <xdr:colOff>152400</xdr:colOff>
      <xdr:row>61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2585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</xdr:colOff>
      <xdr:row>88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390625" y="30994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75</xdr:row>
      <xdr:rowOff>0</xdr:rowOff>
    </xdr:from>
    <xdr:to>
      <xdr:col>29</xdr:col>
      <xdr:colOff>152400</xdr:colOff>
      <xdr:row>75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2208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600050" y="27231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127</xdr:row>
      <xdr:rowOff>0</xdr:rowOff>
    </xdr:from>
    <xdr:to>
      <xdr:col>28</xdr:col>
      <xdr:colOff>152400</xdr:colOff>
      <xdr:row>127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2642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257275" y="3156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107</xdr:row>
      <xdr:rowOff>0</xdr:rowOff>
    </xdr:from>
    <xdr:to>
      <xdr:col>28</xdr:col>
      <xdr:colOff>152400</xdr:colOff>
      <xdr:row>107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465200" y="23412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6667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152</xdr:row>
      <xdr:rowOff>0</xdr:rowOff>
    </xdr:from>
    <xdr:to>
      <xdr:col>30</xdr:col>
      <xdr:colOff>152400</xdr:colOff>
      <xdr:row>152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8026800" y="628935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980925" y="6803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109</xdr:row>
      <xdr:rowOff>0</xdr:rowOff>
    </xdr:from>
    <xdr:to>
      <xdr:col>33</xdr:col>
      <xdr:colOff>152400</xdr:colOff>
      <xdr:row>109</xdr:row>
      <xdr:rowOff>152400</xdr:rowOff>
    </xdr:to>
    <xdr:pic>
      <xdr:nvPicPr>
        <xdr:cNvPr id="2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7417200" y="29441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152400</xdr:rowOff>
    </xdr:to>
    <xdr:pic>
      <xdr:nvPicPr>
        <xdr:cNvPr id="3" name="Picture 1" descr="http://localhost:80/ibmcognos/common/images/filt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742425" y="34585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493;&#1499;&#1504;&#1497;&#1514;%20&#1506;&#1489;&#1493;&#1491;&#1492;%202014\&#1513;&#1497;&#1508;&#1493;&#1509;%20&#1495;&#1494;&#1497;&#1514;&#1493;&#1514;\&#1513;&#1497;&#1508;&#1493;&#1509;%20&#1495;&#1494;&#1497;&#1514;&#1493;&#1514;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493;&#1499;&#1504;&#1497;&#1514;%20&#1506;&#1489;&#1493;&#1491;&#1492;%202016\&#1502;&#1511;&#1493;&#1512;&#1493;&#1514;%20&#1502;&#1497;&#1502;&#1493;&#1503;\&#1511;&#1512;&#1504;&#1493;&#1514;%20&#1492;&#1512;&#1513;&#1493;&#1514;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14;&#1493;&#1499;&#1504;&#1497;&#1514;%20&#1506;&#1489;&#1493;&#1491;&#1492;%202016\&#1502;&#1511;&#1493;&#1512;&#1493;&#1514;%20&#1502;&#1497;&#1502;&#1493;&#1503;\&#1488;&#1495;&#1512;&#1497;&#1501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פוץ חזיתות"/>
    </sheetNames>
    <sheetDataSet>
      <sheetData sheetId="0">
        <row r="13">
          <cell r="A13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נועה בקרן וצפי 31.12.15"/>
      <sheetName val="תנועה בקרן  31.8.15 "/>
      <sheetName val="קרנות הרשות  2016 טיוטא "/>
    </sheetNames>
    <sheetDataSet>
      <sheetData sheetId="0"/>
      <sheetData sheetId="1"/>
      <sheetData sheetId="2">
        <row r="22">
          <cell r="C22">
            <v>241972</v>
          </cell>
          <cell r="D22">
            <v>30300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ביה שיפוצי בתים"/>
      <sheetName val="אחרים 2016"/>
    </sheetNames>
    <sheetDataSet>
      <sheetData sheetId="0"/>
      <sheetData sheetId="1">
        <row r="19">
          <cell r="Q19">
            <v>116005990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Zeros="0" rightToLeft="1" tabSelected="1"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R26" sqref="R26"/>
    </sheetView>
  </sheetViews>
  <sheetFormatPr defaultColWidth="9.109375" defaultRowHeight="15.6" x14ac:dyDescent="0.3"/>
  <cols>
    <col min="1" max="1" width="22.33203125" style="46" customWidth="1"/>
    <col min="2" max="3" width="13.109375" style="47" bestFit="1" customWidth="1"/>
    <col min="4" max="4" width="11.88671875" style="47" customWidth="1"/>
    <col min="5" max="8" width="12.6640625" style="47" hidden="1" customWidth="1"/>
    <col min="9" max="9" width="11.109375" style="47" hidden="1" customWidth="1"/>
    <col min="10" max="10" width="13.33203125" style="34" customWidth="1"/>
    <col min="11" max="11" width="11.5546875" style="47" customWidth="1"/>
    <col min="12" max="12" width="11.6640625" style="47" customWidth="1"/>
    <col min="13" max="13" width="13" style="47" customWidth="1"/>
    <col min="14" max="14" width="12.6640625" style="34" hidden="1" customWidth="1"/>
    <col min="15" max="17" width="12.109375" style="47" hidden="1" customWidth="1"/>
    <col min="18" max="18" width="9.6640625" style="47" customWidth="1"/>
    <col min="19" max="19" width="10.88671875" style="47" customWidth="1"/>
    <col min="20" max="20" width="11.88671875" style="47" customWidth="1"/>
    <col min="21" max="21" width="10.33203125" style="47" customWidth="1"/>
    <col min="22" max="22" width="9.44140625" style="47" customWidth="1"/>
    <col min="23" max="23" width="11.109375" style="47" customWidth="1"/>
    <col min="24" max="24" width="5.88671875" style="43" hidden="1" customWidth="1"/>
    <col min="25" max="25" width="10.109375" style="43" hidden="1" customWidth="1"/>
    <col min="26" max="26" width="9.109375" style="43"/>
    <col min="27" max="27" width="10" style="43" bestFit="1" customWidth="1"/>
    <col min="28" max="16384" width="9.109375" style="43"/>
  </cols>
  <sheetData>
    <row r="1" spans="1:25" s="23" customFormat="1" ht="22.8" x14ac:dyDescent="0.4">
      <c r="A1" s="250" t="s">
        <v>370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5" s="23" customFormat="1" ht="22.8" x14ac:dyDescent="0.4">
      <c r="A2" s="250" t="s">
        <v>296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</row>
    <row r="3" spans="1:25" s="23" customFormat="1" ht="23.4" thickBot="1" x14ac:dyDescent="0.45">
      <c r="A3" s="24"/>
      <c r="B3" s="25"/>
      <c r="C3" s="25"/>
      <c r="D3" s="25"/>
      <c r="E3" s="25"/>
      <c r="F3" s="25"/>
      <c r="G3" s="25"/>
      <c r="H3" s="25"/>
      <c r="I3" s="25"/>
      <c r="J3" s="26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</row>
    <row r="4" spans="1:25" s="28" customFormat="1" x14ac:dyDescent="0.3">
      <c r="A4" s="27"/>
      <c r="B4" s="251" t="s">
        <v>297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  <c r="N4" s="254"/>
      <c r="O4" s="255"/>
      <c r="P4" s="56"/>
      <c r="Q4" s="56"/>
      <c r="R4" s="251" t="s">
        <v>298</v>
      </c>
      <c r="S4" s="252"/>
      <c r="T4" s="252"/>
      <c r="U4" s="252"/>
      <c r="V4" s="252"/>
      <c r="W4" s="253"/>
      <c r="X4" s="236"/>
      <c r="Y4" s="29"/>
    </row>
    <row r="5" spans="1:25" s="31" customFormat="1" ht="62.4" x14ac:dyDescent="0.25">
      <c r="A5" s="27" t="s">
        <v>299</v>
      </c>
      <c r="B5" s="27" t="s">
        <v>300</v>
      </c>
      <c r="C5" s="27" t="s">
        <v>4</v>
      </c>
      <c r="D5" s="27" t="s">
        <v>301</v>
      </c>
      <c r="E5" s="27" t="s">
        <v>318</v>
      </c>
      <c r="F5" s="4" t="s">
        <v>7</v>
      </c>
      <c r="G5" s="4" t="s">
        <v>8</v>
      </c>
      <c r="H5" s="4" t="s">
        <v>9</v>
      </c>
      <c r="I5" s="4" t="s">
        <v>10</v>
      </c>
      <c r="J5" s="30" t="s">
        <v>11</v>
      </c>
      <c r="K5" s="27" t="s">
        <v>359</v>
      </c>
      <c r="L5" s="27" t="s">
        <v>360</v>
      </c>
      <c r="M5" s="27" t="s">
        <v>361</v>
      </c>
      <c r="N5" s="30" t="s">
        <v>302</v>
      </c>
      <c r="O5" s="4" t="s">
        <v>362</v>
      </c>
      <c r="P5" s="4" t="s">
        <v>363</v>
      </c>
      <c r="Q5" s="4" t="s">
        <v>364</v>
      </c>
      <c r="R5" s="4" t="s">
        <v>365</v>
      </c>
      <c r="S5" s="27" t="s">
        <v>366</v>
      </c>
      <c r="T5" s="27" t="s">
        <v>13</v>
      </c>
      <c r="U5" s="27" t="s">
        <v>14</v>
      </c>
      <c r="V5" s="4" t="s">
        <v>15</v>
      </c>
      <c r="W5" s="27" t="s">
        <v>285</v>
      </c>
      <c r="Y5" s="30" t="s">
        <v>303</v>
      </c>
    </row>
    <row r="6" spans="1:25" s="31" customFormat="1" x14ac:dyDescent="0.25">
      <c r="A6" s="27"/>
      <c r="B6" s="27"/>
      <c r="C6" s="27"/>
      <c r="D6" s="27"/>
      <c r="E6" s="27"/>
      <c r="F6" s="27"/>
      <c r="G6" s="27"/>
      <c r="H6" s="27"/>
      <c r="I6" s="27"/>
      <c r="J6" s="30"/>
      <c r="K6" s="27"/>
      <c r="L6" s="27"/>
      <c r="M6" s="27"/>
      <c r="N6" s="30"/>
      <c r="O6" s="27"/>
      <c r="P6" s="27"/>
      <c r="Q6" s="27"/>
      <c r="R6" s="27"/>
      <c r="S6" s="27"/>
      <c r="T6" s="27"/>
      <c r="U6" s="27"/>
      <c r="V6" s="27"/>
      <c r="W6" s="27"/>
      <c r="Y6" s="30"/>
    </row>
    <row r="7" spans="1:25" s="34" customFormat="1" ht="15.75" customHeight="1" x14ac:dyDescent="0.3">
      <c r="A7" s="32" t="s">
        <v>304</v>
      </c>
      <c r="B7" s="33">
        <f>'הנדסה '!D$177</f>
        <v>1288787085</v>
      </c>
      <c r="C7" s="237">
        <f>'הנדסה '!E$177</f>
        <v>1063482761</v>
      </c>
      <c r="D7" s="237">
        <f>'הנדסה '!F$177</f>
        <v>225504324</v>
      </c>
      <c r="E7" s="237">
        <f>'הנדסה '!G$177</f>
        <v>423965833</v>
      </c>
      <c r="F7" s="237">
        <f>'הנדסה '!H$177</f>
        <v>329592752.12999994</v>
      </c>
      <c r="G7" s="237">
        <f>'הנדסה '!I$177</f>
        <v>20705612.099999998</v>
      </c>
      <c r="H7" s="237">
        <f>'הנדסה '!J$177</f>
        <v>18076100.210000001</v>
      </c>
      <c r="I7" s="237">
        <f>'הנדסה '!K$177</f>
        <v>38781712.309999995</v>
      </c>
      <c r="J7" s="237">
        <f>'הנדסה '!L$177</f>
        <v>368374464.44</v>
      </c>
      <c r="K7" s="237">
        <f>'הנדסה '!M$177</f>
        <v>89352126.560000002</v>
      </c>
      <c r="L7" s="237">
        <f>'הנדסה '!N$177</f>
        <v>196440504</v>
      </c>
      <c r="M7" s="237">
        <f>'הנדסה '!O$177</f>
        <v>634619990</v>
      </c>
      <c r="N7" s="237">
        <f>'הנדסה '!P$177</f>
        <v>55591368.559999987</v>
      </c>
      <c r="O7" s="237">
        <f>'הנדסה '!Q$177</f>
        <v>19750000</v>
      </c>
      <c r="P7" s="237">
        <f>'הנדסה '!R$177</f>
        <v>17123702</v>
      </c>
      <c r="Q7" s="237">
        <f>'הנדסה '!S$177</f>
        <v>36873702</v>
      </c>
      <c r="R7" s="237">
        <f>'הנדסה '!T$177</f>
        <v>3112944</v>
      </c>
      <c r="S7" s="237">
        <f>'הנדסה '!U$177</f>
        <v>193327560</v>
      </c>
      <c r="T7" s="237">
        <f>'הנדסה '!V$177</f>
        <v>134170125</v>
      </c>
      <c r="U7" s="237">
        <f>'הנדסה '!W$177</f>
        <v>100000</v>
      </c>
      <c r="V7" s="237">
        <f>'הנדסה '!X$177</f>
        <v>0</v>
      </c>
      <c r="W7" s="237">
        <f>'הנדסה '!Y$177</f>
        <v>59057435</v>
      </c>
      <c r="Y7" s="33">
        <f>'הנדסה '!A177</f>
        <v>146</v>
      </c>
    </row>
    <row r="8" spans="1:25" s="34" customFormat="1" ht="15.75" customHeight="1" x14ac:dyDescent="0.3">
      <c r="A8" s="35"/>
      <c r="B8" s="33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Y8" s="37"/>
    </row>
    <row r="9" spans="1:25" s="34" customFormat="1" x14ac:dyDescent="0.3">
      <c r="A9" s="32" t="s">
        <v>305</v>
      </c>
      <c r="B9" s="33">
        <f>'החברה לפיתוח '!D$55</f>
        <v>747977684</v>
      </c>
      <c r="C9" s="237">
        <f>'החברה לפיתוח '!E$55</f>
        <v>702489807</v>
      </c>
      <c r="D9" s="237">
        <f>'החברה לפיתוח '!F$55</f>
        <v>45487877</v>
      </c>
      <c r="E9" s="237">
        <f>'החברה לפיתוח '!G$55</f>
        <v>482989615</v>
      </c>
      <c r="F9" s="237">
        <f>'החברה לפיתוח '!H$55</f>
        <v>401078872.66999996</v>
      </c>
      <c r="G9" s="237">
        <f>'החברה לפיתוח '!I$55</f>
        <v>16821237.240000006</v>
      </c>
      <c r="H9" s="237">
        <f>'החברה לפיתוח '!J$55</f>
        <v>4002129.4700000007</v>
      </c>
      <c r="I9" s="237">
        <f>'החברה לפיתוח '!K$55</f>
        <v>20823366.710000001</v>
      </c>
      <c r="J9" s="237">
        <f>'החברה לפיתוח '!L$55</f>
        <v>421902239.38000005</v>
      </c>
      <c r="K9" s="237">
        <f>'החברה לפיתוח '!M$55</f>
        <v>125117375.62</v>
      </c>
      <c r="L9" s="237">
        <f>'החברה לפיתוח '!N$55</f>
        <v>94737469</v>
      </c>
      <c r="M9" s="237">
        <f>'החברה לפיתוח '!O$55</f>
        <v>106220600</v>
      </c>
      <c r="N9" s="237">
        <f>'החברה לפיתוח '!P$55</f>
        <v>61087375.620000005</v>
      </c>
      <c r="O9" s="237">
        <f>'החברה לפיתוח '!Q$55</f>
        <v>49500000</v>
      </c>
      <c r="P9" s="237">
        <f>'החברה לפיתוח '!R$55</f>
        <v>14530000</v>
      </c>
      <c r="Q9" s="237">
        <f>'החברה לפיתוח '!S$55</f>
        <v>64030000</v>
      </c>
      <c r="R9" s="237">
        <f>'החברה לפיתוח '!T$55</f>
        <v>0</v>
      </c>
      <c r="S9" s="237">
        <f>'החברה לפיתוח '!U$55</f>
        <v>94737469</v>
      </c>
      <c r="T9" s="237">
        <f>'החברה לפיתוח '!V$55</f>
        <v>63413914</v>
      </c>
      <c r="U9" s="237">
        <f>'החברה לפיתוח '!W$55</f>
        <v>815000</v>
      </c>
      <c r="V9" s="237">
        <f>'החברה לפיתוח '!X$55</f>
        <v>0</v>
      </c>
      <c r="W9" s="237">
        <f>'החברה לפיתוח '!Y$55</f>
        <v>30508555</v>
      </c>
      <c r="Y9" s="37">
        <f>'החברה לפיתוח '!A55</f>
        <v>49</v>
      </c>
    </row>
    <row r="10" spans="1:25" s="34" customFormat="1" x14ac:dyDescent="0.3">
      <c r="A10" s="35"/>
      <c r="B10" s="33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Y10" s="37"/>
    </row>
    <row r="11" spans="1:25" s="34" customFormat="1" ht="15.75" customHeight="1" x14ac:dyDescent="0.3">
      <c r="A11" s="38" t="s">
        <v>306</v>
      </c>
      <c r="B11" s="33">
        <f>'תבל '!D$79</f>
        <v>562065840</v>
      </c>
      <c r="C11" s="237">
        <f>'תבל '!E$79</f>
        <v>511553840</v>
      </c>
      <c r="D11" s="237">
        <f>'תבל '!F$79</f>
        <v>50512000</v>
      </c>
      <c r="E11" s="237">
        <f>'תבל '!G$79</f>
        <v>397385840</v>
      </c>
      <c r="F11" s="237">
        <f>'תבל '!H$79</f>
        <v>345381160.25</v>
      </c>
      <c r="G11" s="237">
        <f>'תבל '!I$79</f>
        <v>13690955.32</v>
      </c>
      <c r="H11" s="237">
        <f>'תבל '!J$79</f>
        <v>23830760.68</v>
      </c>
      <c r="I11" s="237">
        <f>'תבל '!K$79</f>
        <v>37521716.000000015</v>
      </c>
      <c r="J11" s="237">
        <f>'תבל '!L$79</f>
        <v>381801179.74000019</v>
      </c>
      <c r="K11" s="237">
        <f>'תבל '!M$79</f>
        <v>21164660.260000002</v>
      </c>
      <c r="L11" s="237">
        <f>'תבל '!N$79</f>
        <v>42673000</v>
      </c>
      <c r="M11" s="237">
        <f>'תבל '!O$79</f>
        <v>116427000</v>
      </c>
      <c r="N11" s="237">
        <f>'תבל '!P$79</f>
        <v>15584660.260000002</v>
      </c>
      <c r="O11" s="237">
        <f>'תבל '!Q$79</f>
        <v>550000</v>
      </c>
      <c r="P11" s="237">
        <f>'תבל '!R$79</f>
        <v>5030000</v>
      </c>
      <c r="Q11" s="237">
        <f>'תבל '!S$79</f>
        <v>5580000</v>
      </c>
      <c r="R11" s="237">
        <f>'תבל '!T$79</f>
        <v>0</v>
      </c>
      <c r="S11" s="237">
        <f>'תבל '!U$79</f>
        <v>42673000</v>
      </c>
      <c r="T11" s="237">
        <f>'תבל '!V$79</f>
        <v>11130000</v>
      </c>
      <c r="U11" s="237">
        <f>'תבל '!W$79</f>
        <v>19343000</v>
      </c>
      <c r="V11" s="237">
        <f>'תבל '!X$79</f>
        <v>0</v>
      </c>
      <c r="W11" s="237">
        <f>'תבל '!Y$79</f>
        <v>12200000</v>
      </c>
      <c r="Y11" s="37">
        <f>'תבל '!A79</f>
        <v>72</v>
      </c>
    </row>
    <row r="12" spans="1:25" s="34" customFormat="1" ht="15.75" customHeight="1" x14ac:dyDescent="0.3">
      <c r="A12" s="35"/>
      <c r="B12" s="33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Y12" s="37"/>
    </row>
    <row r="13" spans="1:25" s="34" customFormat="1" ht="15.75" customHeight="1" x14ac:dyDescent="0.3">
      <c r="A13" s="38" t="s">
        <v>640</v>
      </c>
      <c r="B13" s="33">
        <f>בטחון!D$9</f>
        <v>1725000</v>
      </c>
      <c r="C13" s="237">
        <f>בטחון!E$9</f>
        <v>700000</v>
      </c>
      <c r="D13" s="237">
        <f>בטחון!F$9</f>
        <v>1025000</v>
      </c>
      <c r="E13" s="237">
        <f>בטחון!G$9</f>
        <v>300000</v>
      </c>
      <c r="F13" s="237">
        <f>בטחון!H$9</f>
        <v>165640.23000000001</v>
      </c>
      <c r="G13" s="237">
        <f>בטחון!I$9</f>
        <v>72450.95</v>
      </c>
      <c r="H13" s="237">
        <f>בטחון!J$9</f>
        <v>0</v>
      </c>
      <c r="I13" s="237">
        <f>בטחון!K$9</f>
        <v>72450.95</v>
      </c>
      <c r="J13" s="237">
        <f>בטחון!L$9</f>
        <v>238091.18</v>
      </c>
      <c r="K13" s="237">
        <f>בטחון!M$9</f>
        <v>61908.820000000007</v>
      </c>
      <c r="L13" s="237">
        <f>בטחון!N$9</f>
        <v>750000</v>
      </c>
      <c r="M13" s="237">
        <f>בטחון!O$9</f>
        <v>675000</v>
      </c>
      <c r="N13" s="237">
        <f>בטחון!P$9</f>
        <v>61908.820000000007</v>
      </c>
      <c r="O13" s="237">
        <f>בטחון!Q$9</f>
        <v>0</v>
      </c>
      <c r="P13" s="237">
        <f>בטחון!R$9</f>
        <v>0</v>
      </c>
      <c r="Q13" s="237">
        <f>בטחון!S$9</f>
        <v>0</v>
      </c>
      <c r="R13" s="237">
        <f>בטחון!T$9</f>
        <v>0</v>
      </c>
      <c r="S13" s="237">
        <f>בטחון!U$9</f>
        <v>750000</v>
      </c>
      <c r="T13" s="237">
        <f>בטחון!V$9</f>
        <v>0</v>
      </c>
      <c r="U13" s="237">
        <f>בטחון!W$9</f>
        <v>550000</v>
      </c>
      <c r="V13" s="237">
        <f>בטחון!X$9</f>
        <v>0</v>
      </c>
      <c r="W13" s="237">
        <f>בטחון!Y$9</f>
        <v>200000</v>
      </c>
      <c r="Y13" s="37">
        <f>בטחון!A9</f>
        <v>3</v>
      </c>
    </row>
    <row r="14" spans="1:25" s="34" customFormat="1" ht="15.75" customHeight="1" x14ac:dyDescent="0.3">
      <c r="A14" s="38"/>
      <c r="B14" s="33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Y14" s="37"/>
    </row>
    <row r="15" spans="1:25" s="34" customFormat="1" x14ac:dyDescent="0.3">
      <c r="A15" s="38" t="s">
        <v>630</v>
      </c>
      <c r="B15" s="33">
        <f>'חינוך תנוס '!D$42</f>
        <v>18338000</v>
      </c>
      <c r="C15" s="237">
        <f>'חינוך תנוס '!E$42</f>
        <v>17298000</v>
      </c>
      <c r="D15" s="237">
        <f>'חינוך תנוס '!F$42</f>
        <v>1040000</v>
      </c>
      <c r="E15" s="237">
        <f>'חינוך תנוס '!G$42</f>
        <v>10458000</v>
      </c>
      <c r="F15" s="237">
        <f>'חינוך תנוס '!H$42</f>
        <v>7255992.2999999989</v>
      </c>
      <c r="G15" s="237">
        <f>'חינוך תנוס '!I$42</f>
        <v>727533.09999999986</v>
      </c>
      <c r="H15" s="237">
        <f>'חינוך תנוס '!J$42</f>
        <v>274035.33</v>
      </c>
      <c r="I15" s="237">
        <f>'חינוך תנוס '!K$42</f>
        <v>1001568.43</v>
      </c>
      <c r="J15" s="237">
        <f>'חינוך תנוס '!L$42</f>
        <v>8257560.7300000004</v>
      </c>
      <c r="K15" s="237">
        <f>'חינוך תנוס '!M$42</f>
        <v>4370439.2699999996</v>
      </c>
      <c r="L15" s="237">
        <f>'חינוך תנוס '!N$42</f>
        <v>3443000</v>
      </c>
      <c r="M15" s="237">
        <f>'חינוך תנוס '!O$42</f>
        <v>2267000</v>
      </c>
      <c r="N15" s="237">
        <f>'חינוך תנוס '!P$42</f>
        <v>2200439.27</v>
      </c>
      <c r="O15" s="237">
        <f>'חינוך תנוס '!Q$42</f>
        <v>600000</v>
      </c>
      <c r="P15" s="237">
        <f>'חינוך תנוס '!R$42</f>
        <v>1570000</v>
      </c>
      <c r="Q15" s="237">
        <f>'חינוך תנוס '!S$42</f>
        <v>2170000</v>
      </c>
      <c r="R15" s="237">
        <f>'חינוך תנוס '!T$42</f>
        <v>0</v>
      </c>
      <c r="S15" s="237">
        <f>'חינוך תנוס '!U$42</f>
        <v>3443000</v>
      </c>
      <c r="T15" s="237">
        <f>'חינוך תנוס '!V$42</f>
        <v>100000</v>
      </c>
      <c r="U15" s="237">
        <f>'חינוך תנוס '!W$42</f>
        <v>2203000</v>
      </c>
      <c r="V15" s="237">
        <f>'חינוך תנוס '!X$42</f>
        <v>0</v>
      </c>
      <c r="W15" s="237">
        <f>'חינוך תנוס '!Y$42</f>
        <v>1140000</v>
      </c>
      <c r="Y15" s="39">
        <f>'חינוך תנוס '!A42</f>
        <v>29</v>
      </c>
    </row>
    <row r="16" spans="1:25" s="34" customFormat="1" x14ac:dyDescent="0.3">
      <c r="A16" s="38"/>
      <c r="B16" s="33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Y16" s="37"/>
    </row>
    <row r="17" spans="1:25" s="34" customFormat="1" x14ac:dyDescent="0.3">
      <c r="A17" s="38" t="s">
        <v>307</v>
      </c>
      <c r="B17" s="33">
        <f>'שאיפה '!D$26</f>
        <v>96312000</v>
      </c>
      <c r="C17" s="237">
        <f>'שאיפה '!E$26</f>
        <v>88662000</v>
      </c>
      <c r="D17" s="237">
        <f>'שאיפה '!F$26</f>
        <v>7650000</v>
      </c>
      <c r="E17" s="237">
        <f>'שאיפה '!G$26</f>
        <v>66430000</v>
      </c>
      <c r="F17" s="237">
        <f>'שאיפה '!H$26</f>
        <v>59672613.150000006</v>
      </c>
      <c r="G17" s="237">
        <f>'שאיפה '!I$26</f>
        <v>3192639.02</v>
      </c>
      <c r="H17" s="237">
        <f>'שאיפה '!J$26</f>
        <v>613467.32999999996</v>
      </c>
      <c r="I17" s="237">
        <f>'שאיפה '!K$26</f>
        <v>3806106.35</v>
      </c>
      <c r="J17" s="237">
        <f>'שאיפה '!L$26</f>
        <v>63478719.5</v>
      </c>
      <c r="K17" s="237">
        <f>'שאיפה '!M$26</f>
        <v>5751280.4999999981</v>
      </c>
      <c r="L17" s="237">
        <f>'שאיפה '!N$26</f>
        <v>10465000</v>
      </c>
      <c r="M17" s="237">
        <f>'שאיפה '!O$26</f>
        <v>16617000</v>
      </c>
      <c r="N17" s="237">
        <f>'שאיפה '!P$26</f>
        <v>2951280.4999999981</v>
      </c>
      <c r="O17" s="237">
        <f>'שאיפה '!Q$26</f>
        <v>2250000</v>
      </c>
      <c r="P17" s="237">
        <f>'שאיפה '!R$26</f>
        <v>550000</v>
      </c>
      <c r="Q17" s="237">
        <f>'שאיפה '!S$26</f>
        <v>2800000</v>
      </c>
      <c r="R17" s="237">
        <f>'שאיפה '!T$26</f>
        <v>0</v>
      </c>
      <c r="S17" s="237">
        <f>'שאיפה '!U$26</f>
        <v>10465000</v>
      </c>
      <c r="T17" s="237">
        <f>'שאיפה '!V$26</f>
        <v>7215000</v>
      </c>
      <c r="U17" s="237">
        <f>'שאיפה '!W$26</f>
        <v>3250000</v>
      </c>
      <c r="V17" s="237">
        <f>'שאיפה '!X$26</f>
        <v>0</v>
      </c>
      <c r="W17" s="237">
        <f>'שאיפה '!Y$26</f>
        <v>0</v>
      </c>
      <c r="Y17" s="37">
        <f>'שאיפה '!A26</f>
        <v>18</v>
      </c>
    </row>
    <row r="18" spans="1:25" s="34" customFormat="1" x14ac:dyDescent="0.3">
      <c r="A18" s="35"/>
      <c r="B18" s="33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Y18" s="37"/>
    </row>
    <row r="19" spans="1:25" s="34" customFormat="1" x14ac:dyDescent="0.25">
      <c r="A19" s="38" t="s">
        <v>308</v>
      </c>
      <c r="B19" s="39">
        <f>'שאיפה '!D$49</f>
        <v>13612529</v>
      </c>
      <c r="C19" s="238">
        <f>'שאיפה '!E$49</f>
        <v>8402529</v>
      </c>
      <c r="D19" s="238">
        <f>'שאיפה '!F$49</f>
        <v>5210000</v>
      </c>
      <c r="E19" s="238">
        <f>'שאיפה '!G$49</f>
        <v>7332529</v>
      </c>
      <c r="F19" s="238">
        <f>'שאיפה '!H$49</f>
        <v>6055677.5</v>
      </c>
      <c r="G19" s="238">
        <f>'שאיפה '!I$49</f>
        <v>503182.22000000003</v>
      </c>
      <c r="H19" s="238">
        <f>'שאיפה '!J$49</f>
        <v>424744.82</v>
      </c>
      <c r="I19" s="238">
        <f>'שאיפה '!K$49</f>
        <v>927927.04</v>
      </c>
      <c r="J19" s="238">
        <f>'שאיפה '!L$49</f>
        <v>6983604.54</v>
      </c>
      <c r="K19" s="238">
        <f>'שאיפה '!M$49</f>
        <v>348924.46000000008</v>
      </c>
      <c r="L19" s="238">
        <f>'שאיפה '!N$49</f>
        <v>3470000</v>
      </c>
      <c r="M19" s="238">
        <f>'שאיפה '!O$49</f>
        <v>2810000</v>
      </c>
      <c r="N19" s="238">
        <f>'שאיפה '!P$49</f>
        <v>348924.46000000008</v>
      </c>
      <c r="O19" s="238">
        <f>'שאיפה '!Q$49</f>
        <v>0</v>
      </c>
      <c r="P19" s="238">
        <f>'שאיפה '!R$49</f>
        <v>0</v>
      </c>
      <c r="Q19" s="238">
        <f>'שאיפה '!S$49</f>
        <v>0</v>
      </c>
      <c r="R19" s="238">
        <f>'שאיפה '!T$49</f>
        <v>0</v>
      </c>
      <c r="S19" s="238">
        <f>'שאיפה '!U$49</f>
        <v>3470000</v>
      </c>
      <c r="T19" s="238">
        <f>'שאיפה '!V$49</f>
        <v>1500000</v>
      </c>
      <c r="U19" s="238">
        <f>'שאיפה '!W$49</f>
        <v>1900000</v>
      </c>
      <c r="V19" s="238">
        <f>'שאיפה '!X$49</f>
        <v>0</v>
      </c>
      <c r="W19" s="238">
        <f>'שאיפה '!Y$49</f>
        <v>70000</v>
      </c>
      <c r="Y19" s="37">
        <f>'שאיפה '!A49</f>
        <v>20</v>
      </c>
    </row>
    <row r="20" spans="1:25" s="34" customFormat="1" x14ac:dyDescent="0.25">
      <c r="A20" s="38"/>
      <c r="B20" s="39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Y20" s="37"/>
    </row>
    <row r="21" spans="1:25" s="34" customFormat="1" x14ac:dyDescent="0.25">
      <c r="A21" s="38" t="s">
        <v>309</v>
      </c>
      <c r="B21" s="39">
        <f>'שאיפה '!D$60</f>
        <v>11088000</v>
      </c>
      <c r="C21" s="238">
        <f>'שאיפה '!E$60</f>
        <v>10738000</v>
      </c>
      <c r="D21" s="238">
        <f>'שאיפה '!F$60</f>
        <v>350000</v>
      </c>
      <c r="E21" s="238">
        <f>'שאיפה '!G$60</f>
        <v>8619000</v>
      </c>
      <c r="F21" s="238">
        <f>'שאיפה '!H$60</f>
        <v>4557840.7200000007</v>
      </c>
      <c r="G21" s="238">
        <f>'שאיפה '!I$60</f>
        <v>135357.25</v>
      </c>
      <c r="H21" s="238">
        <f>'שאיפה '!J$60</f>
        <v>4820.3</v>
      </c>
      <c r="I21" s="238">
        <f>'שאיפה '!K$60</f>
        <v>140177.54999999999</v>
      </c>
      <c r="J21" s="238">
        <f>'שאיפה '!L$60</f>
        <v>4698018.2700000005</v>
      </c>
      <c r="K21" s="238">
        <f>'שאיפה '!M$60</f>
        <v>4120981.7299999995</v>
      </c>
      <c r="L21" s="238">
        <f>'שאיפה '!N$60</f>
        <v>195000</v>
      </c>
      <c r="M21" s="238">
        <f>'שאיפה '!O$60</f>
        <v>2074000</v>
      </c>
      <c r="N21" s="238">
        <f>'שאיפה '!P$60</f>
        <v>3920981.7299999995</v>
      </c>
      <c r="O21" s="238">
        <f>'שאיפה '!Q$60</f>
        <v>200000</v>
      </c>
      <c r="P21" s="238">
        <f>'שאיפה '!R$60</f>
        <v>0</v>
      </c>
      <c r="Q21" s="238">
        <f>'שאיפה '!S$60</f>
        <v>200000</v>
      </c>
      <c r="R21" s="238">
        <f>'שאיפה '!T$60</f>
        <v>0</v>
      </c>
      <c r="S21" s="238">
        <f>'שאיפה '!U$60</f>
        <v>195000</v>
      </c>
      <c r="T21" s="238">
        <f>'שאיפה '!V$60</f>
        <v>0</v>
      </c>
      <c r="U21" s="238">
        <f>'שאיפה '!W$60</f>
        <v>195000</v>
      </c>
      <c r="V21" s="238">
        <f>'שאיפה '!X$60</f>
        <v>0</v>
      </c>
      <c r="W21" s="238">
        <f>'שאיפה '!Y$60</f>
        <v>0</v>
      </c>
      <c r="Y21" s="37">
        <f>'שאיפה '!A60</f>
        <v>8</v>
      </c>
    </row>
    <row r="22" spans="1:25" s="34" customFormat="1" x14ac:dyDescent="0.25">
      <c r="A22" s="38"/>
      <c r="B22" s="39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Y22" s="37"/>
    </row>
    <row r="23" spans="1:25" s="34" customFormat="1" x14ac:dyDescent="0.25">
      <c r="A23" s="38" t="s">
        <v>310</v>
      </c>
      <c r="B23" s="39">
        <f>'החברה לתיירות '!D$23</f>
        <v>12209960</v>
      </c>
      <c r="C23" s="238">
        <f>'החברה לתיירות '!E$23</f>
        <v>8179960</v>
      </c>
      <c r="D23" s="238">
        <f>'החברה לתיירות '!F$23</f>
        <v>4030000</v>
      </c>
      <c r="E23" s="238">
        <f>'החברה לתיירות '!G$23</f>
        <v>3130000</v>
      </c>
      <c r="F23" s="238">
        <f>'החברה לתיירות '!H$23</f>
        <v>2402516</v>
      </c>
      <c r="G23" s="238">
        <f>'החברה לתיירות '!I$23</f>
        <v>0</v>
      </c>
      <c r="H23" s="238">
        <f>'החברה לתיירות '!J$23</f>
        <v>0</v>
      </c>
      <c r="I23" s="238">
        <f>'החברה לתיירות '!K$23</f>
        <v>0</v>
      </c>
      <c r="J23" s="238">
        <f>'החברה לתיירות '!L$23</f>
        <v>2402516</v>
      </c>
      <c r="K23" s="238">
        <f>'החברה לתיירות '!M$23</f>
        <v>2677444</v>
      </c>
      <c r="L23" s="238">
        <f>'החברה לתיירות '!N$23</f>
        <v>3730000</v>
      </c>
      <c r="M23" s="238">
        <f>'החברה לתיירות '!O$23</f>
        <v>3400000</v>
      </c>
      <c r="N23" s="238">
        <f>'החברה לתיירות '!P$23</f>
        <v>727484</v>
      </c>
      <c r="O23" s="238">
        <f>'החברה לתיירות '!Q$23</f>
        <v>1500000</v>
      </c>
      <c r="P23" s="238">
        <f>'החברה לתיירות '!R$23</f>
        <v>449960</v>
      </c>
      <c r="Q23" s="238">
        <f>'החברה לתיירות '!S$23</f>
        <v>1949960</v>
      </c>
      <c r="R23" s="238">
        <f>'החברה לתיירות '!T$23</f>
        <v>0</v>
      </c>
      <c r="S23" s="238">
        <f>'החברה לתיירות '!U$23</f>
        <v>3730000</v>
      </c>
      <c r="T23" s="238">
        <f>'החברה לתיירות '!V$23</f>
        <v>3550000</v>
      </c>
      <c r="U23" s="238">
        <f>'החברה לתיירות '!W$23</f>
        <v>180000</v>
      </c>
      <c r="V23" s="238">
        <f>'החברה לתיירות '!X$23</f>
        <v>0</v>
      </c>
      <c r="W23" s="238">
        <f>'החברה לתיירות '!Y$23</f>
        <v>0</v>
      </c>
      <c r="Y23" s="37">
        <f>'החברה לתיירות '!A23</f>
        <v>16</v>
      </c>
    </row>
    <row r="24" spans="1:25" s="34" customFormat="1" x14ac:dyDescent="0.25">
      <c r="A24" s="38"/>
      <c r="B24" s="39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Y24" s="37"/>
    </row>
    <row r="25" spans="1:25" s="34" customFormat="1" x14ac:dyDescent="0.25">
      <c r="A25" s="38" t="s">
        <v>629</v>
      </c>
      <c r="B25" s="39">
        <f>'מיחשוב '!D$18</f>
        <v>37083842</v>
      </c>
      <c r="C25" s="238">
        <f>'מיחשוב '!E$18</f>
        <v>24793842</v>
      </c>
      <c r="D25" s="238">
        <f>'מיחשוב '!F$18</f>
        <v>12290000</v>
      </c>
      <c r="E25" s="238">
        <f>'מיחשוב '!G$18</f>
        <v>12838842</v>
      </c>
      <c r="F25" s="238">
        <f>'מיחשוב '!H$18</f>
        <v>10743385.1</v>
      </c>
      <c r="G25" s="238">
        <f>'מיחשוב '!I$18</f>
        <v>610625.02</v>
      </c>
      <c r="H25" s="238">
        <f>'מיחשוב '!J$18</f>
        <v>487200</v>
      </c>
      <c r="I25" s="238">
        <f>'מיחשוב '!K$18</f>
        <v>1097825.02</v>
      </c>
      <c r="J25" s="238">
        <f>'מיחשוב '!L$18</f>
        <v>11841210.119999999</v>
      </c>
      <c r="K25" s="238">
        <f>'מיחשוב '!M$18</f>
        <v>997631.87999999989</v>
      </c>
      <c r="L25" s="238">
        <f>'מיחשוב '!N$18</f>
        <v>4785000</v>
      </c>
      <c r="M25" s="238">
        <f>'מיחשוב '!O$18</f>
        <v>19460000</v>
      </c>
      <c r="N25" s="238">
        <f>'מיחשוב '!P$18</f>
        <v>997631.87999999989</v>
      </c>
      <c r="O25" s="238">
        <f>'מיחשוב '!Q$18</f>
        <v>0</v>
      </c>
      <c r="P25" s="238">
        <f>'מיחשוב '!R$18</f>
        <v>0</v>
      </c>
      <c r="Q25" s="238">
        <f>'מיחשוב '!S$18</f>
        <v>0</v>
      </c>
      <c r="R25" s="238">
        <f>'מיחשוב '!T$18</f>
        <v>0</v>
      </c>
      <c r="S25" s="238">
        <f>'מיחשוב '!U$18</f>
        <v>4785000</v>
      </c>
      <c r="T25" s="238">
        <f>'מיחשוב '!V$18</f>
        <v>1000000</v>
      </c>
      <c r="U25" s="238">
        <f>'מיחשוב '!W$18</f>
        <v>1135000</v>
      </c>
      <c r="V25" s="238">
        <f>'מיחשוב '!X$18</f>
        <v>0</v>
      </c>
      <c r="W25" s="238">
        <f>'מיחשוב '!Y$18</f>
        <v>2650000</v>
      </c>
      <c r="Y25" s="37">
        <f>'מיחשוב '!A18</f>
        <v>10</v>
      </c>
    </row>
    <row r="26" spans="1:25" s="34" customFormat="1" x14ac:dyDescent="0.25">
      <c r="A26" s="38"/>
      <c r="B26" s="39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Y26" s="37"/>
    </row>
    <row r="27" spans="1:25" s="34" customFormat="1" x14ac:dyDescent="0.25">
      <c r="A27" s="38" t="s">
        <v>311</v>
      </c>
      <c r="B27" s="39">
        <f>נכסים!D$28</f>
        <v>173209955</v>
      </c>
      <c r="C27" s="238">
        <f>נכסים!E$28</f>
        <v>173209955</v>
      </c>
      <c r="D27" s="238">
        <f>נכסים!F$28</f>
        <v>0</v>
      </c>
      <c r="E27" s="238">
        <f>נכסים!G$28</f>
        <v>94813414</v>
      </c>
      <c r="F27" s="238">
        <f>נכסים!H$28</f>
        <v>79039785.450000003</v>
      </c>
      <c r="G27" s="238">
        <f>נכסים!I$28</f>
        <v>13201</v>
      </c>
      <c r="H27" s="238">
        <f>נכסים!J$28</f>
        <v>0</v>
      </c>
      <c r="I27" s="238">
        <f>נכסים!K$28</f>
        <v>13201</v>
      </c>
      <c r="J27" s="238">
        <f>נכסים!L$28</f>
        <v>79052986.450000003</v>
      </c>
      <c r="K27" s="238">
        <f>נכסים!M$28</f>
        <v>17747177.550000001</v>
      </c>
      <c r="L27" s="238">
        <f>נכסים!N$28</f>
        <v>12400000</v>
      </c>
      <c r="M27" s="238">
        <f>נכסים!O$28</f>
        <v>64009791</v>
      </c>
      <c r="N27" s="238">
        <f>נכסים!P$28</f>
        <v>15760427.550000001</v>
      </c>
      <c r="O27" s="238">
        <f>נכסים!Q$28</f>
        <v>1491750</v>
      </c>
      <c r="P27" s="238">
        <f>נכסים!R$28</f>
        <v>565000</v>
      </c>
      <c r="Q27" s="238">
        <f>נכסים!S$28</f>
        <v>2056750</v>
      </c>
      <c r="R27" s="238">
        <f>נכסים!T$28</f>
        <v>70000</v>
      </c>
      <c r="S27" s="238">
        <f>נכסים!U$28</f>
        <v>12330000</v>
      </c>
      <c r="T27" s="238">
        <f>נכסים!V$28</f>
        <v>9500000</v>
      </c>
      <c r="U27" s="238">
        <f>נכסים!W$28</f>
        <v>-70000</v>
      </c>
      <c r="V27" s="238">
        <f>נכסים!X$28</f>
        <v>2900000</v>
      </c>
      <c r="W27" s="238">
        <f>נכסים!Y$28</f>
        <v>0</v>
      </c>
      <c r="Y27" s="39">
        <f>נכסים!A$28</f>
        <v>20</v>
      </c>
    </row>
    <row r="28" spans="1:25" s="34" customFormat="1" x14ac:dyDescent="0.25">
      <c r="A28" s="38"/>
      <c r="B28" s="39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Y28" s="37"/>
    </row>
    <row r="29" spans="1:25" s="34" customFormat="1" x14ac:dyDescent="0.25">
      <c r="A29" s="38" t="s">
        <v>312</v>
      </c>
      <c r="B29" s="39">
        <f>'שיפוצי בתים עמידר'!D$10</f>
        <v>80500000</v>
      </c>
      <c r="C29" s="238">
        <f>'שיפוצי בתים עמידר'!E$10</f>
        <v>80450000</v>
      </c>
      <c r="D29" s="238">
        <f>'שיפוצי בתים עמידר'!F$10</f>
        <v>50000</v>
      </c>
      <c r="E29" s="238">
        <f>'שיפוצי בתים עמידר'!G$10</f>
        <v>49690000</v>
      </c>
      <c r="F29" s="238">
        <f>'שיפוצי בתים עמידר'!H$10</f>
        <v>48881209.43</v>
      </c>
      <c r="G29" s="238">
        <f>'שיפוצי בתים עמידר'!I$10</f>
        <v>0</v>
      </c>
      <c r="H29" s="238">
        <f>'שיפוצי בתים עמידר'!J$10</f>
        <v>0</v>
      </c>
      <c r="I29" s="238">
        <f>'שיפוצי בתים עמידר'!K$10</f>
        <v>0</v>
      </c>
      <c r="J29" s="238">
        <f>'שיפוצי בתים עמידר'!L$10</f>
        <v>48881209.43</v>
      </c>
      <c r="K29" s="238">
        <f>'שיפוצי בתים עמידר'!M$10</f>
        <v>858790.57000000007</v>
      </c>
      <c r="L29" s="238">
        <f>'שיפוצי בתים עמידר'!N$10</f>
        <v>10230000</v>
      </c>
      <c r="M29" s="238">
        <f>'שיפוצי בתים עמידר'!O$10</f>
        <v>20530000</v>
      </c>
      <c r="N29" s="238">
        <f>'שיפוצי בתים עמידר'!P$10</f>
        <v>808790.57000000007</v>
      </c>
      <c r="O29" s="238">
        <f>'שיפוצי בתים עמידר'!Q$10</f>
        <v>50000</v>
      </c>
      <c r="P29" s="238">
        <f>'שיפוצי בתים עמידר'!R$10</f>
        <v>0</v>
      </c>
      <c r="Q29" s="238">
        <f>'שיפוצי בתים עמידר'!S$10</f>
        <v>50000</v>
      </c>
      <c r="R29" s="238">
        <f>'שיפוצי בתים עמידר'!T$10</f>
        <v>0</v>
      </c>
      <c r="S29" s="238">
        <f>'שיפוצי בתים עמידר'!U$10</f>
        <v>10230000</v>
      </c>
      <c r="T29" s="238">
        <f>'שיפוצי בתים עמידר'!V$10</f>
        <v>50000</v>
      </c>
      <c r="U29" s="238">
        <f>'שיפוצי בתים עמידר'!W$10</f>
        <v>0</v>
      </c>
      <c r="V29" s="238">
        <f>'שיפוצי בתים עמידר'!X$10</f>
        <v>0</v>
      </c>
      <c r="W29" s="238">
        <f>'שיפוצי בתים עמידר'!Y$10</f>
        <v>10180000</v>
      </c>
      <c r="Y29" s="37">
        <f>'[1]שיפוץ חזיתות'!A$13</f>
        <v>4</v>
      </c>
    </row>
    <row r="30" spans="1:25" s="34" customFormat="1" x14ac:dyDescent="0.25">
      <c r="A30" s="38"/>
      <c r="B30" s="39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Y30" s="37"/>
    </row>
    <row r="31" spans="1:25" s="34" customFormat="1" x14ac:dyDescent="0.25">
      <c r="A31" s="38" t="s">
        <v>313</v>
      </c>
      <c r="B31" s="39">
        <f>כללי!D$16</f>
        <v>76779772</v>
      </c>
      <c r="C31" s="238">
        <f>כללי!E$16</f>
        <v>74587811</v>
      </c>
      <c r="D31" s="238">
        <f>כללי!F$16</f>
        <v>2191961</v>
      </c>
      <c r="E31" s="238">
        <f>כללי!G$16</f>
        <v>42602811</v>
      </c>
      <c r="F31" s="238">
        <f>כללי!H$16</f>
        <v>37672957.479999997</v>
      </c>
      <c r="G31" s="238">
        <f>כללי!I$16</f>
        <v>748996.84000000008</v>
      </c>
      <c r="H31" s="238">
        <f>כללי!J$16</f>
        <v>501245.22</v>
      </c>
      <c r="I31" s="238">
        <f>כללי!K$16</f>
        <v>1250242.06</v>
      </c>
      <c r="J31" s="238">
        <f>כללי!L$16</f>
        <v>38923199.539999999</v>
      </c>
      <c r="K31" s="238">
        <f>כללי!M$16</f>
        <v>1283572.4600000004</v>
      </c>
      <c r="L31" s="238">
        <f>כללי!N$16</f>
        <v>13438000</v>
      </c>
      <c r="M31" s="238">
        <f>כללי!O$16</f>
        <v>23135000</v>
      </c>
      <c r="N31" s="238">
        <f>כללי!P$16</f>
        <v>3679611.46</v>
      </c>
      <c r="O31" s="238">
        <f>כללי!Q$16</f>
        <v>0</v>
      </c>
      <c r="P31" s="238">
        <f>כללי!R$16</f>
        <v>0</v>
      </c>
      <c r="Q31" s="238">
        <f>כללי!S$16</f>
        <v>0</v>
      </c>
      <c r="R31" s="238">
        <f>כללי!T$16</f>
        <v>2396039</v>
      </c>
      <c r="S31" s="238">
        <f>כללי!U$16</f>
        <v>11041961</v>
      </c>
      <c r="T31" s="238">
        <f>כללי!V$16</f>
        <v>10342961</v>
      </c>
      <c r="U31" s="238">
        <f>כללי!W$16</f>
        <v>699000</v>
      </c>
      <c r="V31" s="238">
        <f>כללי!X$16</f>
        <v>0</v>
      </c>
      <c r="W31" s="238">
        <f>כללי!Y$16</f>
        <v>0</v>
      </c>
      <c r="Y31" s="37">
        <f>כללי!A$16</f>
        <v>8</v>
      </c>
    </row>
    <row r="32" spans="1:25" s="34" customFormat="1" x14ac:dyDescent="0.25">
      <c r="A32" s="38"/>
      <c r="B32" s="39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Y32" s="37"/>
    </row>
    <row r="33" spans="1:25" s="42" customFormat="1" x14ac:dyDescent="0.3">
      <c r="A33" s="32" t="s">
        <v>314</v>
      </c>
      <c r="B33" s="40">
        <f t="shared" ref="B33:Y33" si="0">SUM(B7:B32)</f>
        <v>3119689667</v>
      </c>
      <c r="C33" s="239">
        <f t="shared" ref="C33:W33" si="1">SUM(C7:C32)</f>
        <v>2764548505</v>
      </c>
      <c r="D33" s="239">
        <f t="shared" si="1"/>
        <v>355341162</v>
      </c>
      <c r="E33" s="239">
        <f t="shared" si="1"/>
        <v>1600555884</v>
      </c>
      <c r="F33" s="239">
        <f t="shared" si="1"/>
        <v>1332500402.4100001</v>
      </c>
      <c r="G33" s="239">
        <f t="shared" si="1"/>
        <v>57221790.060000017</v>
      </c>
      <c r="H33" s="239">
        <f t="shared" si="1"/>
        <v>48214503.359999992</v>
      </c>
      <c r="I33" s="239">
        <f t="shared" si="1"/>
        <v>105436293.42000002</v>
      </c>
      <c r="J33" s="239">
        <f t="shared" si="1"/>
        <v>1436834999.3200002</v>
      </c>
      <c r="K33" s="239">
        <f t="shared" si="1"/>
        <v>273852313.67999995</v>
      </c>
      <c r="L33" s="239">
        <f t="shared" si="1"/>
        <v>396756973</v>
      </c>
      <c r="M33" s="239">
        <f t="shared" si="1"/>
        <v>1012245381</v>
      </c>
      <c r="N33" s="239">
        <f t="shared" si="1"/>
        <v>163720884.68000001</v>
      </c>
      <c r="O33" s="239">
        <f t="shared" si="1"/>
        <v>75891750</v>
      </c>
      <c r="P33" s="239">
        <f t="shared" si="1"/>
        <v>39818662</v>
      </c>
      <c r="Q33" s="239">
        <f t="shared" si="1"/>
        <v>115710412</v>
      </c>
      <c r="R33" s="239">
        <f t="shared" si="1"/>
        <v>5578983</v>
      </c>
      <c r="S33" s="239">
        <f t="shared" si="1"/>
        <v>391177990</v>
      </c>
      <c r="T33" s="239">
        <f t="shared" si="1"/>
        <v>241972000</v>
      </c>
      <c r="U33" s="239">
        <f t="shared" si="1"/>
        <v>30300000</v>
      </c>
      <c r="V33" s="239">
        <f t="shared" si="1"/>
        <v>2900000</v>
      </c>
      <c r="W33" s="239">
        <f t="shared" si="1"/>
        <v>116005990</v>
      </c>
      <c r="X33" s="41">
        <f t="shared" si="0"/>
        <v>0</v>
      </c>
      <c r="Y33" s="40">
        <f t="shared" si="0"/>
        <v>403</v>
      </c>
    </row>
    <row r="34" spans="1:25" s="34" customFormat="1" x14ac:dyDescent="0.3">
      <c r="A34" s="35"/>
      <c r="B34" s="33"/>
      <c r="C34" s="33"/>
      <c r="D34" s="36"/>
      <c r="E34" s="33"/>
      <c r="F34" s="33"/>
      <c r="G34" s="33"/>
      <c r="H34" s="33"/>
      <c r="I34" s="33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Y34" s="37"/>
    </row>
    <row r="35" spans="1:25" s="34" customFormat="1" x14ac:dyDescent="0.3">
      <c r="A35" s="43"/>
      <c r="B35" s="44"/>
      <c r="C35" s="44"/>
      <c r="D35" s="45"/>
      <c r="E35" s="44"/>
      <c r="F35" s="44"/>
      <c r="G35" s="44"/>
      <c r="H35" s="44"/>
      <c r="I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5" ht="13.5" hidden="1" customHeight="1" x14ac:dyDescent="0.3">
      <c r="L36" s="208"/>
      <c r="M36" s="209"/>
      <c r="N36" s="49"/>
      <c r="O36" s="48"/>
      <c r="P36" s="57"/>
      <c r="Q36" s="57"/>
      <c r="R36" s="49"/>
      <c r="S36" s="50" t="s">
        <v>314</v>
      </c>
      <c r="T36" s="50" t="s">
        <v>284</v>
      </c>
      <c r="U36" s="50" t="s">
        <v>315</v>
      </c>
      <c r="V36" s="50" t="s">
        <v>15</v>
      </c>
      <c r="W36" s="50" t="s">
        <v>285</v>
      </c>
      <c r="X36" s="51"/>
      <c r="Y36" s="42"/>
    </row>
    <row r="37" spans="1:25" hidden="1" x14ac:dyDescent="0.3">
      <c r="L37" s="206" t="s">
        <v>316</v>
      </c>
      <c r="M37" s="207"/>
      <c r="N37" s="52"/>
      <c r="O37" s="50" t="s">
        <v>316</v>
      </c>
      <c r="P37" s="58"/>
      <c r="Q37" s="58"/>
      <c r="R37" s="53"/>
      <c r="S37" s="54">
        <f>SUM(T37:W37)</f>
        <v>391177990</v>
      </c>
      <c r="T37" s="54">
        <f>'[2]קרנות הרשות  2016 טיוטא '!$C$22*1000</f>
        <v>241972000</v>
      </c>
      <c r="U37" s="54">
        <f>'[2]קרנות הרשות  2016 טיוטא '!$D$22*1000</f>
        <v>30300000</v>
      </c>
      <c r="V37" s="54">
        <v>2900000</v>
      </c>
      <c r="W37" s="54">
        <f>'[3]אחרים 2016'!$Q$19</f>
        <v>116005990</v>
      </c>
      <c r="Y37" s="55"/>
    </row>
    <row r="38" spans="1:25" hidden="1" x14ac:dyDescent="0.3">
      <c r="L38" s="50" t="s">
        <v>317</v>
      </c>
      <c r="M38" s="205"/>
      <c r="N38" s="52"/>
      <c r="O38" s="50" t="s">
        <v>317</v>
      </c>
      <c r="P38" s="58"/>
      <c r="Q38" s="58"/>
      <c r="R38" s="53"/>
      <c r="S38" s="54">
        <f>S37-S33</f>
        <v>0</v>
      </c>
      <c r="T38" s="54">
        <f>T37-T33</f>
        <v>0</v>
      </c>
      <c r="U38" s="54">
        <f>U37-U33</f>
        <v>0</v>
      </c>
      <c r="V38" s="54">
        <f>V37-V33</f>
        <v>0</v>
      </c>
      <c r="W38" s="54">
        <f>W37-W33</f>
        <v>0</v>
      </c>
      <c r="Y38" s="55"/>
    </row>
    <row r="39" spans="1:25" hidden="1" x14ac:dyDescent="0.3"/>
    <row r="40" spans="1:25" hidden="1" x14ac:dyDescent="0.3">
      <c r="J40" s="60"/>
      <c r="Y40" s="47"/>
    </row>
  </sheetData>
  <sheetProtection algorithmName="SHA-512" hashValue="u8rl5DkaxzdXXF29NhPslL3Ay5HU+2pmeWIfDLSUAO+pSPNtzWhIsGu4bVqaxSWpjJPuMh8dvpDUYk29tG194g==" saltValue="/COEaR3c+80BssVQoZX41Q==" spinCount="100000" sheet="1" formatCells="0" formatColumns="0" formatRows="0" insertColumns="0" insertRows="0" insertHyperlinks="0" deleteColumns="0" deleteRows="0" sort="0" autoFilter="0" pivotTables="0"/>
  <mergeCells count="5">
    <mergeCell ref="A1:W1"/>
    <mergeCell ref="A2:W2"/>
    <mergeCell ref="B4:M4"/>
    <mergeCell ref="N4:O4"/>
    <mergeCell ref="R4:W4"/>
  </mergeCells>
  <printOptions horizontalCentered="1"/>
  <pageMargins left="0" right="0" top="0" bottom="0" header="0.51181102362204722" footer="0.51181102362204722"/>
  <pageSetup paperSize="9" scale="85" orientation="landscape" r:id="rId1"/>
  <headerFooter alignWithMargins="0">
    <oddFooter xml:space="preserve">&amp;Lריכוז אגפים&amp;C&amp;"Arial,מודגש"&amp;14 &amp;Rעמוד 9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34"/>
  <sheetViews>
    <sheetView showZeros="0" rightToLeft="1" zoomScaleNormal="100" workbookViewId="0">
      <pane xSplit="3" ySplit="5" topLeftCell="D63" activePane="bottomRight" state="frozen"/>
      <selection pane="topRight" activeCell="D1" sqref="D1"/>
      <selection pane="bottomLeft" activeCell="A6" sqref="A6"/>
      <selection pane="bottomRight" activeCell="F1" sqref="F1:L1048576"/>
    </sheetView>
  </sheetViews>
  <sheetFormatPr defaultColWidth="9.109375" defaultRowHeight="13.8" x14ac:dyDescent="0.25"/>
  <cols>
    <col min="1" max="1" width="6.44140625" style="20" bestFit="1" customWidth="1"/>
    <col min="2" max="2" width="6.6640625" style="21" customWidth="1"/>
    <col min="3" max="3" width="38.109375" style="21" bestFit="1" customWidth="1"/>
    <col min="4" max="4" width="12.6640625" style="19" bestFit="1" customWidth="1"/>
    <col min="5" max="5" width="11" style="19" customWidth="1"/>
    <col min="6" max="6" width="11.33203125" style="19" customWidth="1"/>
    <col min="7" max="7" width="12" style="19" hidden="1" customWidth="1"/>
    <col min="8" max="10" width="12.6640625" style="19" hidden="1" customWidth="1"/>
    <col min="11" max="11" width="11.33203125" style="19" hidden="1" customWidth="1"/>
    <col min="12" max="12" width="11.6640625" style="19" customWidth="1"/>
    <col min="13" max="13" width="10.33203125" style="19" customWidth="1"/>
    <col min="14" max="14" width="11.109375" style="19" bestFit="1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9.88671875" style="19" hidden="1" customWidth="1"/>
    <col min="21" max="21" width="11.33203125" style="21" customWidth="1"/>
    <col min="22" max="22" width="10.33203125" style="21" customWidth="1"/>
    <col min="23" max="23" width="10.6640625" style="21" customWidth="1"/>
    <col min="24" max="24" width="6.44140625" style="21" hidden="1" customWidth="1"/>
    <col min="25" max="25" width="10.109375" style="21" customWidth="1"/>
    <col min="26" max="26" width="62.44140625" style="20" hidden="1" customWidth="1"/>
    <col min="27" max="27" width="62.5546875" style="20" hidden="1" customWidth="1"/>
    <col min="28" max="28" width="10.6640625" style="21" hidden="1" customWidth="1"/>
    <col min="29" max="29" width="13.88671875" style="21" hidden="1" customWidth="1"/>
    <col min="30" max="30" width="11.88671875" style="21" hidden="1" customWidth="1"/>
    <col min="31" max="46" width="25.6640625" style="21" customWidth="1"/>
    <col min="47" max="16384" width="9.109375" style="21"/>
  </cols>
  <sheetData>
    <row r="1" spans="1:32" x14ac:dyDescent="0.25">
      <c r="A1" s="120"/>
      <c r="B1" s="121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1"/>
      <c r="V1" s="121"/>
      <c r="W1" s="121"/>
      <c r="X1" s="121"/>
      <c r="Y1" s="121"/>
      <c r="Z1" s="120"/>
    </row>
    <row r="2" spans="1:32" s="1" customFormat="1" ht="18" x14ac:dyDescent="0.35">
      <c r="A2" s="259" t="s">
        <v>370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123"/>
      <c r="AA2" s="69"/>
    </row>
    <row r="3" spans="1:32" ht="18" x14ac:dyDescent="0.35">
      <c r="A3" s="259" t="s">
        <v>334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20"/>
    </row>
    <row r="4" spans="1:32" x14ac:dyDescent="0.25">
      <c r="A4" s="120"/>
      <c r="B4" s="121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1"/>
      <c r="V4" s="121"/>
      <c r="W4" s="121"/>
      <c r="X4" s="121"/>
      <c r="Y4" s="121"/>
      <c r="Z4" s="120"/>
    </row>
    <row r="5" spans="1:32" s="86" customFormat="1" ht="86.25" customHeight="1" x14ac:dyDescent="0.25">
      <c r="A5" s="124" t="s">
        <v>0</v>
      </c>
      <c r="B5" s="124" t="s">
        <v>1</v>
      </c>
      <c r="C5" s="124" t="s">
        <v>2</v>
      </c>
      <c r="D5" s="124" t="s">
        <v>3</v>
      </c>
      <c r="E5" s="124" t="s">
        <v>4</v>
      </c>
      <c r="F5" s="124" t="s">
        <v>5</v>
      </c>
      <c r="G5" s="124" t="s">
        <v>6</v>
      </c>
      <c r="H5" s="124" t="s">
        <v>7</v>
      </c>
      <c r="I5" s="124" t="s">
        <v>8</v>
      </c>
      <c r="J5" s="124" t="s">
        <v>9</v>
      </c>
      <c r="K5" s="124" t="s">
        <v>10</v>
      </c>
      <c r="L5" s="124" t="s">
        <v>11</v>
      </c>
      <c r="M5" s="124" t="s">
        <v>359</v>
      </c>
      <c r="N5" s="124" t="s">
        <v>360</v>
      </c>
      <c r="O5" s="124" t="s">
        <v>361</v>
      </c>
      <c r="P5" s="124" t="s">
        <v>12</v>
      </c>
      <c r="Q5" s="124" t="s">
        <v>362</v>
      </c>
      <c r="R5" s="124" t="s">
        <v>363</v>
      </c>
      <c r="S5" s="124" t="s">
        <v>364</v>
      </c>
      <c r="T5" s="124" t="s">
        <v>365</v>
      </c>
      <c r="U5" s="124" t="s">
        <v>366</v>
      </c>
      <c r="V5" s="124" t="s">
        <v>13</v>
      </c>
      <c r="W5" s="124" t="s">
        <v>14</v>
      </c>
      <c r="X5" s="124" t="s">
        <v>15</v>
      </c>
      <c r="Y5" s="124" t="s">
        <v>285</v>
      </c>
      <c r="Z5" s="125" t="s">
        <v>16</v>
      </c>
      <c r="AA5" s="125" t="s">
        <v>17</v>
      </c>
      <c r="AB5" s="124" t="s">
        <v>18</v>
      </c>
      <c r="AC5" s="4" t="s">
        <v>432</v>
      </c>
      <c r="AD5" s="4"/>
    </row>
    <row r="6" spans="1:32" s="86" customFormat="1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5"/>
      <c r="AA6" s="125"/>
      <c r="AB6" s="124"/>
      <c r="AC6" s="4"/>
      <c r="AD6" s="4"/>
    </row>
    <row r="7" spans="1:32" s="8" customFormat="1" x14ac:dyDescent="0.25">
      <c r="A7" s="126">
        <f>1+A6</f>
        <v>1</v>
      </c>
      <c r="B7" s="126">
        <v>1247</v>
      </c>
      <c r="C7" s="126" t="s">
        <v>113</v>
      </c>
      <c r="D7" s="127">
        <v>9500000</v>
      </c>
      <c r="E7" s="127">
        <v>9500000</v>
      </c>
      <c r="F7" s="127">
        <f t="shared" ref="F7:F38" si="0">D7-E7</f>
        <v>0</v>
      </c>
      <c r="G7" s="127">
        <v>7750000</v>
      </c>
      <c r="H7" s="127">
        <v>7147560.8300000001</v>
      </c>
      <c r="I7" s="127">
        <v>214934.9</v>
      </c>
      <c r="J7" s="127">
        <v>225032.75</v>
      </c>
      <c r="K7" s="127">
        <f t="shared" ref="K7:K38" si="1">SUM(I7:J7)</f>
        <v>439967.65</v>
      </c>
      <c r="L7" s="127">
        <f t="shared" ref="L7:L38" si="2">H7+K7</f>
        <v>7587528.4800000004</v>
      </c>
      <c r="M7" s="127">
        <f t="shared" ref="M7:M38" si="3">P7+S7</f>
        <v>162471.51999999955</v>
      </c>
      <c r="N7" s="127">
        <v>500000</v>
      </c>
      <c r="O7" s="127">
        <f t="shared" ref="O7:O38" si="4">D7-L7-M7-N7</f>
        <v>1250000</v>
      </c>
      <c r="P7" s="127">
        <f t="shared" ref="P7:P38" si="5">G7-L7</f>
        <v>162471.51999999955</v>
      </c>
      <c r="Q7" s="127"/>
      <c r="R7" s="127"/>
      <c r="S7" s="127">
        <f t="shared" ref="S7:S38" si="6">SUM(Q7:R7)</f>
        <v>0</v>
      </c>
      <c r="T7" s="127">
        <f t="shared" ref="T7:T38" si="7">P7-M7+S7</f>
        <v>0</v>
      </c>
      <c r="U7" s="127">
        <f t="shared" ref="U7:U38" si="8">N7-T7</f>
        <v>500000</v>
      </c>
      <c r="V7" s="127">
        <v>250000</v>
      </c>
      <c r="W7" s="127">
        <f t="shared" ref="W7:W38" si="9">U7-V7-X7-Y7</f>
        <v>250000</v>
      </c>
      <c r="X7" s="127"/>
      <c r="Y7" s="126"/>
      <c r="Z7" s="128" t="s">
        <v>449</v>
      </c>
      <c r="AA7" s="128"/>
      <c r="AB7" s="126">
        <v>732000</v>
      </c>
      <c r="AC7" s="6">
        <v>1</v>
      </c>
      <c r="AD7" s="6"/>
    </row>
    <row r="8" spans="1:32" s="8" customFormat="1" x14ac:dyDescent="0.25">
      <c r="A8" s="126">
        <f>1+A7</f>
        <v>2</v>
      </c>
      <c r="B8" s="126">
        <v>1250</v>
      </c>
      <c r="C8" s="126" t="s">
        <v>114</v>
      </c>
      <c r="D8" s="127">
        <f>1150000+60000+240000</f>
        <v>1450000</v>
      </c>
      <c r="E8" s="127">
        <v>1150000</v>
      </c>
      <c r="F8" s="127">
        <f t="shared" si="0"/>
        <v>300000</v>
      </c>
      <c r="G8" s="127">
        <v>850000</v>
      </c>
      <c r="H8" s="127">
        <v>708018.48</v>
      </c>
      <c r="I8" s="127">
        <v>61841.18</v>
      </c>
      <c r="J8" s="127">
        <v>660.42</v>
      </c>
      <c r="K8" s="127">
        <f t="shared" si="1"/>
        <v>62501.599999999999</v>
      </c>
      <c r="L8" s="127">
        <f t="shared" si="2"/>
        <v>770520.08</v>
      </c>
      <c r="M8" s="127">
        <f t="shared" si="3"/>
        <v>79479.920000000042</v>
      </c>
      <c r="N8" s="127">
        <f>400000-300000</f>
        <v>100000</v>
      </c>
      <c r="O8" s="127">
        <f t="shared" si="4"/>
        <v>500000</v>
      </c>
      <c r="P8" s="127">
        <f t="shared" si="5"/>
        <v>79479.920000000042</v>
      </c>
      <c r="Q8" s="127"/>
      <c r="R8" s="127"/>
      <c r="S8" s="127">
        <f t="shared" si="6"/>
        <v>0</v>
      </c>
      <c r="T8" s="127">
        <f t="shared" si="7"/>
        <v>0</v>
      </c>
      <c r="U8" s="127">
        <f t="shared" si="8"/>
        <v>100000</v>
      </c>
      <c r="V8" s="127"/>
      <c r="W8" s="127">
        <f t="shared" si="9"/>
        <v>100000</v>
      </c>
      <c r="X8" s="127"/>
      <c r="Y8" s="126"/>
      <c r="Z8" s="128" t="s">
        <v>450</v>
      </c>
      <c r="AA8" s="134"/>
      <c r="AB8" s="126">
        <v>749000</v>
      </c>
      <c r="AC8" s="6">
        <v>1</v>
      </c>
      <c r="AD8" s="6"/>
    </row>
    <row r="9" spans="1:32" s="8" customFormat="1" x14ac:dyDescent="0.25">
      <c r="A9" s="126">
        <f>1+A8</f>
        <v>3</v>
      </c>
      <c r="B9" s="126">
        <v>1253</v>
      </c>
      <c r="C9" s="126" t="s">
        <v>115</v>
      </c>
      <c r="D9" s="127">
        <f>3500000+200000</f>
        <v>3700000</v>
      </c>
      <c r="E9" s="127">
        <v>3500000</v>
      </c>
      <c r="F9" s="127">
        <f t="shared" si="0"/>
        <v>200000</v>
      </c>
      <c r="G9" s="127">
        <v>3200000</v>
      </c>
      <c r="H9" s="127">
        <v>2505655.08</v>
      </c>
      <c r="I9" s="127">
        <v>631959</v>
      </c>
      <c r="J9" s="127"/>
      <c r="K9" s="127">
        <f t="shared" si="1"/>
        <v>631959</v>
      </c>
      <c r="L9" s="127">
        <f t="shared" si="2"/>
        <v>3137614.08</v>
      </c>
      <c r="M9" s="127">
        <f t="shared" si="3"/>
        <v>62385.919999999925</v>
      </c>
      <c r="N9" s="127">
        <v>50000</v>
      </c>
      <c r="O9" s="127">
        <f t="shared" si="4"/>
        <v>450000</v>
      </c>
      <c r="P9" s="127">
        <f t="shared" si="5"/>
        <v>62385.919999999925</v>
      </c>
      <c r="Q9" s="127"/>
      <c r="R9" s="127"/>
      <c r="S9" s="127">
        <f t="shared" si="6"/>
        <v>0</v>
      </c>
      <c r="T9" s="127">
        <f t="shared" si="7"/>
        <v>0</v>
      </c>
      <c r="U9" s="127">
        <f t="shared" si="8"/>
        <v>50000</v>
      </c>
      <c r="V9" s="127"/>
      <c r="W9" s="127">
        <f t="shared" si="9"/>
        <v>50000</v>
      </c>
      <c r="X9" s="127"/>
      <c r="Y9" s="126"/>
      <c r="Z9" s="128" t="s">
        <v>481</v>
      </c>
      <c r="AA9" s="128"/>
      <c r="AB9" s="126">
        <v>850000</v>
      </c>
      <c r="AC9" s="6">
        <v>2</v>
      </c>
      <c r="AD9" s="6"/>
    </row>
    <row r="10" spans="1:32" s="8" customFormat="1" x14ac:dyDescent="0.25">
      <c r="A10" s="126">
        <f>1+A9</f>
        <v>4</v>
      </c>
      <c r="B10" s="126">
        <v>1281</v>
      </c>
      <c r="C10" s="126" t="s">
        <v>116</v>
      </c>
      <c r="D10" s="127">
        <v>213905840</v>
      </c>
      <c r="E10" s="127">
        <v>213905840</v>
      </c>
      <c r="F10" s="127">
        <f t="shared" si="0"/>
        <v>0</v>
      </c>
      <c r="G10" s="127">
        <v>213905840</v>
      </c>
      <c r="H10" s="127">
        <v>209573543.31999999</v>
      </c>
      <c r="I10" s="127">
        <v>661999.92000000004</v>
      </c>
      <c r="J10" s="127">
        <v>3131855.55</v>
      </c>
      <c r="K10" s="127">
        <f t="shared" si="1"/>
        <v>3793855.4699999997</v>
      </c>
      <c r="L10" s="127">
        <f t="shared" si="2"/>
        <v>213367398.78999999</v>
      </c>
      <c r="M10" s="127">
        <f t="shared" si="3"/>
        <v>538441.21000000834</v>
      </c>
      <c r="N10" s="127"/>
      <c r="O10" s="127">
        <f t="shared" si="4"/>
        <v>0</v>
      </c>
      <c r="P10" s="127">
        <f t="shared" si="5"/>
        <v>538441.21000000834</v>
      </c>
      <c r="Q10" s="127"/>
      <c r="R10" s="127"/>
      <c r="S10" s="127">
        <f t="shared" si="6"/>
        <v>0</v>
      </c>
      <c r="T10" s="127">
        <f t="shared" si="7"/>
        <v>0</v>
      </c>
      <c r="U10" s="127">
        <f t="shared" si="8"/>
        <v>0</v>
      </c>
      <c r="V10" s="127"/>
      <c r="W10" s="127">
        <f t="shared" si="9"/>
        <v>0</v>
      </c>
      <c r="X10" s="127"/>
      <c r="Y10" s="126"/>
      <c r="Z10" s="128"/>
      <c r="AA10" s="128"/>
      <c r="AB10" s="126">
        <v>810000</v>
      </c>
      <c r="AC10" s="6"/>
      <c r="AD10" s="6"/>
      <c r="AE10" s="132"/>
      <c r="AF10" s="132"/>
    </row>
    <row r="11" spans="1:32" s="8" customFormat="1" x14ac:dyDescent="0.25">
      <c r="A11" s="126">
        <f>1+A10</f>
        <v>5</v>
      </c>
      <c r="B11" s="126">
        <v>1283</v>
      </c>
      <c r="C11" s="126" t="s">
        <v>117</v>
      </c>
      <c r="D11" s="127">
        <v>3250000</v>
      </c>
      <c r="E11" s="127">
        <v>3250000</v>
      </c>
      <c r="F11" s="127">
        <f t="shared" si="0"/>
        <v>0</v>
      </c>
      <c r="G11" s="127">
        <v>160000</v>
      </c>
      <c r="H11" s="127">
        <v>39708.870000000003</v>
      </c>
      <c r="I11" s="127">
        <v>59000</v>
      </c>
      <c r="J11" s="127"/>
      <c r="K11" s="127">
        <f t="shared" si="1"/>
        <v>59000</v>
      </c>
      <c r="L11" s="127">
        <f t="shared" si="2"/>
        <v>98708.87</v>
      </c>
      <c r="M11" s="127">
        <f t="shared" si="3"/>
        <v>61291.130000000005</v>
      </c>
      <c r="N11" s="127"/>
      <c r="O11" s="127">
        <f t="shared" si="4"/>
        <v>3090000</v>
      </c>
      <c r="P11" s="127">
        <f t="shared" si="5"/>
        <v>61291.130000000005</v>
      </c>
      <c r="Q11" s="127"/>
      <c r="R11" s="127"/>
      <c r="S11" s="127">
        <f t="shared" si="6"/>
        <v>0</v>
      </c>
      <c r="T11" s="127">
        <f t="shared" si="7"/>
        <v>0</v>
      </c>
      <c r="U11" s="127">
        <f t="shared" si="8"/>
        <v>0</v>
      </c>
      <c r="V11" s="127"/>
      <c r="W11" s="127">
        <f t="shared" si="9"/>
        <v>0</v>
      </c>
      <c r="X11" s="127"/>
      <c r="Y11" s="126"/>
      <c r="Z11" s="128" t="s">
        <v>487</v>
      </c>
      <c r="AA11" s="128"/>
      <c r="AB11" s="126">
        <v>760000</v>
      </c>
      <c r="AC11" s="6">
        <v>3</v>
      </c>
      <c r="AD11" s="6"/>
      <c r="AE11" s="132"/>
      <c r="AF11" s="132"/>
    </row>
    <row r="12" spans="1:32" s="8" customFormat="1" x14ac:dyDescent="0.25">
      <c r="A12" s="126">
        <f t="shared" ref="A12:A75" si="10">1+A11</f>
        <v>6</v>
      </c>
      <c r="B12" s="126">
        <v>1287</v>
      </c>
      <c r="C12" s="126" t="s">
        <v>118</v>
      </c>
      <c r="D12" s="127">
        <f>400000+100000</f>
        <v>500000</v>
      </c>
      <c r="E12" s="127">
        <v>400000</v>
      </c>
      <c r="F12" s="127">
        <f t="shared" si="0"/>
        <v>100000</v>
      </c>
      <c r="G12" s="127">
        <v>300000</v>
      </c>
      <c r="H12" s="127">
        <v>199999.49</v>
      </c>
      <c r="I12" s="127"/>
      <c r="J12" s="127"/>
      <c r="K12" s="127">
        <f t="shared" si="1"/>
        <v>0</v>
      </c>
      <c r="L12" s="127">
        <f t="shared" si="2"/>
        <v>199999.49</v>
      </c>
      <c r="M12" s="127">
        <f t="shared" si="3"/>
        <v>100000.51000000001</v>
      </c>
      <c r="N12" s="127">
        <f>200000-100000</f>
        <v>100000</v>
      </c>
      <c r="O12" s="127">
        <f t="shared" si="4"/>
        <v>100000</v>
      </c>
      <c r="P12" s="127">
        <f t="shared" si="5"/>
        <v>100000.51000000001</v>
      </c>
      <c r="Q12" s="127"/>
      <c r="R12" s="127"/>
      <c r="S12" s="127">
        <f t="shared" si="6"/>
        <v>0</v>
      </c>
      <c r="T12" s="127">
        <f t="shared" si="7"/>
        <v>0</v>
      </c>
      <c r="U12" s="127">
        <f t="shared" si="8"/>
        <v>100000</v>
      </c>
      <c r="V12" s="127"/>
      <c r="W12" s="127">
        <f t="shared" si="9"/>
        <v>100000</v>
      </c>
      <c r="X12" s="127"/>
      <c r="Y12" s="126"/>
      <c r="Z12" s="128" t="s">
        <v>482</v>
      </c>
      <c r="AA12" s="247"/>
      <c r="AB12" s="126">
        <v>744400</v>
      </c>
      <c r="AC12" s="131">
        <v>2</v>
      </c>
      <c r="AD12" s="131"/>
    </row>
    <row r="13" spans="1:32" s="8" customFormat="1" x14ac:dyDescent="0.25">
      <c r="A13" s="126">
        <f t="shared" si="10"/>
        <v>7</v>
      </c>
      <c r="B13" s="126">
        <v>1350</v>
      </c>
      <c r="C13" s="126" t="s">
        <v>641</v>
      </c>
      <c r="D13" s="127">
        <v>1300000</v>
      </c>
      <c r="E13" s="127">
        <v>1300000</v>
      </c>
      <c r="F13" s="127">
        <f t="shared" si="0"/>
        <v>0</v>
      </c>
      <c r="G13" s="127">
        <v>500000</v>
      </c>
      <c r="H13" s="127">
        <v>48174.62</v>
      </c>
      <c r="I13" s="127">
        <v>231110.17</v>
      </c>
      <c r="J13" s="127"/>
      <c r="K13" s="127">
        <f t="shared" si="1"/>
        <v>231110.17</v>
      </c>
      <c r="L13" s="127">
        <f t="shared" si="2"/>
        <v>279284.79000000004</v>
      </c>
      <c r="M13" s="127">
        <f t="shared" si="3"/>
        <v>220715.20999999996</v>
      </c>
      <c r="N13" s="127">
        <f>500000-400000</f>
        <v>100000</v>
      </c>
      <c r="O13" s="127">
        <f t="shared" si="4"/>
        <v>700000</v>
      </c>
      <c r="P13" s="127">
        <f t="shared" si="5"/>
        <v>220715.20999999996</v>
      </c>
      <c r="Q13" s="127"/>
      <c r="R13" s="127"/>
      <c r="S13" s="127">
        <f t="shared" si="6"/>
        <v>0</v>
      </c>
      <c r="T13" s="127">
        <f t="shared" si="7"/>
        <v>0</v>
      </c>
      <c r="U13" s="127">
        <f t="shared" si="8"/>
        <v>100000</v>
      </c>
      <c r="V13" s="127"/>
      <c r="W13" s="127">
        <f t="shared" si="9"/>
        <v>100000</v>
      </c>
      <c r="X13" s="127"/>
      <c r="Y13" s="126"/>
      <c r="Z13" s="128" t="s">
        <v>498</v>
      </c>
      <c r="AA13" s="134"/>
      <c r="AB13" s="126">
        <v>828900</v>
      </c>
      <c r="AC13" s="126"/>
      <c r="AD13" s="126"/>
    </row>
    <row r="14" spans="1:32" s="8" customFormat="1" x14ac:dyDescent="0.25">
      <c r="A14" s="126">
        <f t="shared" si="10"/>
        <v>8</v>
      </c>
      <c r="B14" s="126">
        <v>1371</v>
      </c>
      <c r="C14" s="126" t="s">
        <v>119</v>
      </c>
      <c r="D14" s="127">
        <v>12000000</v>
      </c>
      <c r="E14" s="127">
        <v>12000000</v>
      </c>
      <c r="F14" s="127">
        <f t="shared" si="0"/>
        <v>0</v>
      </c>
      <c r="G14" s="127">
        <v>12000000</v>
      </c>
      <c r="H14" s="127">
        <v>11988950</v>
      </c>
      <c r="I14" s="127"/>
      <c r="J14" s="127"/>
      <c r="K14" s="127">
        <f t="shared" si="1"/>
        <v>0</v>
      </c>
      <c r="L14" s="127">
        <f t="shared" si="2"/>
        <v>11988950</v>
      </c>
      <c r="M14" s="127">
        <f t="shared" si="3"/>
        <v>11050</v>
      </c>
      <c r="N14" s="127"/>
      <c r="O14" s="127">
        <f t="shared" si="4"/>
        <v>0</v>
      </c>
      <c r="P14" s="127">
        <f t="shared" si="5"/>
        <v>11050</v>
      </c>
      <c r="Q14" s="127"/>
      <c r="R14" s="127"/>
      <c r="S14" s="127">
        <f t="shared" si="6"/>
        <v>0</v>
      </c>
      <c r="T14" s="127">
        <f t="shared" si="7"/>
        <v>0</v>
      </c>
      <c r="U14" s="127">
        <f t="shared" si="8"/>
        <v>0</v>
      </c>
      <c r="V14" s="127"/>
      <c r="W14" s="127">
        <f t="shared" si="9"/>
        <v>0</v>
      </c>
      <c r="X14" s="127"/>
      <c r="Y14" s="126"/>
      <c r="Z14" s="128"/>
      <c r="AA14" s="128" t="s">
        <v>489</v>
      </c>
      <c r="AB14" s="126">
        <v>723000</v>
      </c>
      <c r="AC14" s="6"/>
      <c r="AD14" s="6"/>
      <c r="AE14" s="132"/>
      <c r="AF14" s="132"/>
    </row>
    <row r="15" spans="1:32" s="8" customFormat="1" x14ac:dyDescent="0.25">
      <c r="A15" s="126">
        <f t="shared" si="10"/>
        <v>9</v>
      </c>
      <c r="B15" s="126">
        <v>1372</v>
      </c>
      <c r="C15" s="126" t="s">
        <v>120</v>
      </c>
      <c r="D15" s="127">
        <f>2900000-1400000</f>
        <v>1500000</v>
      </c>
      <c r="E15" s="127">
        <f>2900000-1400000</f>
        <v>1500000</v>
      </c>
      <c r="F15" s="127">
        <f t="shared" si="0"/>
        <v>0</v>
      </c>
      <c r="G15" s="127">
        <v>1500000</v>
      </c>
      <c r="H15" s="127">
        <v>1401178.36</v>
      </c>
      <c r="I15" s="127">
        <v>4720</v>
      </c>
      <c r="J15" s="127"/>
      <c r="K15" s="127">
        <f t="shared" si="1"/>
        <v>4720</v>
      </c>
      <c r="L15" s="127">
        <f t="shared" si="2"/>
        <v>1405898.36</v>
      </c>
      <c r="M15" s="127">
        <f t="shared" si="3"/>
        <v>94101.639999999898</v>
      </c>
      <c r="N15" s="127"/>
      <c r="O15" s="127">
        <f t="shared" si="4"/>
        <v>0</v>
      </c>
      <c r="P15" s="127">
        <f t="shared" si="5"/>
        <v>94101.639999999898</v>
      </c>
      <c r="Q15" s="127"/>
      <c r="R15" s="127"/>
      <c r="S15" s="127">
        <f t="shared" si="6"/>
        <v>0</v>
      </c>
      <c r="T15" s="127">
        <f t="shared" si="7"/>
        <v>0</v>
      </c>
      <c r="U15" s="127">
        <f t="shared" si="8"/>
        <v>0</v>
      </c>
      <c r="V15" s="127"/>
      <c r="W15" s="127">
        <f t="shared" si="9"/>
        <v>0</v>
      </c>
      <c r="X15" s="127"/>
      <c r="Y15" s="126"/>
      <c r="Z15" s="128"/>
      <c r="AA15" s="134"/>
      <c r="AB15" s="126">
        <v>810000</v>
      </c>
      <c r="AC15" s="6"/>
      <c r="AD15" s="6"/>
      <c r="AE15" s="132"/>
      <c r="AF15" s="132"/>
    </row>
    <row r="16" spans="1:32" s="8" customFormat="1" x14ac:dyDescent="0.25">
      <c r="A16" s="126">
        <f t="shared" si="10"/>
        <v>10</v>
      </c>
      <c r="B16" s="126">
        <v>1384</v>
      </c>
      <c r="C16" s="126" t="s">
        <v>121</v>
      </c>
      <c r="D16" s="127">
        <v>1930000</v>
      </c>
      <c r="E16" s="127">
        <v>1930000</v>
      </c>
      <c r="F16" s="127">
        <f t="shared" si="0"/>
        <v>0</v>
      </c>
      <c r="G16" s="127">
        <v>930000</v>
      </c>
      <c r="H16" s="127">
        <v>920609.7</v>
      </c>
      <c r="I16" s="127">
        <v>3540</v>
      </c>
      <c r="J16" s="127"/>
      <c r="K16" s="127">
        <f t="shared" si="1"/>
        <v>3540</v>
      </c>
      <c r="L16" s="127">
        <f t="shared" si="2"/>
        <v>924149.7</v>
      </c>
      <c r="M16" s="127">
        <f t="shared" si="3"/>
        <v>5850.3000000000466</v>
      </c>
      <c r="N16" s="127"/>
      <c r="O16" s="127">
        <f t="shared" si="4"/>
        <v>1000000</v>
      </c>
      <c r="P16" s="127">
        <f t="shared" si="5"/>
        <v>5850.3000000000466</v>
      </c>
      <c r="Q16" s="127"/>
      <c r="R16" s="127"/>
      <c r="S16" s="127">
        <f t="shared" si="6"/>
        <v>0</v>
      </c>
      <c r="T16" s="127">
        <f t="shared" si="7"/>
        <v>0</v>
      </c>
      <c r="U16" s="127">
        <f t="shared" si="8"/>
        <v>0</v>
      </c>
      <c r="V16" s="127"/>
      <c r="W16" s="127">
        <f t="shared" si="9"/>
        <v>0</v>
      </c>
      <c r="X16" s="127"/>
      <c r="Y16" s="126"/>
      <c r="Z16" s="128" t="s">
        <v>451</v>
      </c>
      <c r="AA16" s="128"/>
      <c r="AB16" s="126">
        <v>723000</v>
      </c>
      <c r="AC16" s="6">
        <v>1</v>
      </c>
      <c r="AD16" s="6"/>
    </row>
    <row r="17" spans="1:32" s="8" customFormat="1" x14ac:dyDescent="0.25">
      <c r="A17" s="126">
        <f t="shared" si="10"/>
        <v>11</v>
      </c>
      <c r="B17" s="126">
        <v>1415</v>
      </c>
      <c r="C17" s="126" t="s">
        <v>122</v>
      </c>
      <c r="D17" s="127">
        <f>850000+200000+100000</f>
        <v>1150000</v>
      </c>
      <c r="E17" s="127">
        <v>850000</v>
      </c>
      <c r="F17" s="127">
        <f t="shared" si="0"/>
        <v>300000</v>
      </c>
      <c r="G17" s="127">
        <v>750000</v>
      </c>
      <c r="H17" s="127">
        <v>620573.39</v>
      </c>
      <c r="I17" s="127">
        <v>109875.7</v>
      </c>
      <c r="J17" s="127">
        <v>8366.6</v>
      </c>
      <c r="K17" s="127">
        <f t="shared" si="1"/>
        <v>118242.3</v>
      </c>
      <c r="L17" s="127">
        <f t="shared" si="2"/>
        <v>738815.69000000006</v>
      </c>
      <c r="M17" s="127">
        <f t="shared" si="3"/>
        <v>11184.309999999939</v>
      </c>
      <c r="N17" s="127">
        <f>200000-100000-50000</f>
        <v>50000</v>
      </c>
      <c r="O17" s="127">
        <f t="shared" si="4"/>
        <v>350000</v>
      </c>
      <c r="P17" s="127">
        <f t="shared" si="5"/>
        <v>11184.309999999939</v>
      </c>
      <c r="Q17" s="127"/>
      <c r="R17" s="127"/>
      <c r="S17" s="127">
        <f t="shared" si="6"/>
        <v>0</v>
      </c>
      <c r="T17" s="127">
        <f t="shared" si="7"/>
        <v>0</v>
      </c>
      <c r="U17" s="127">
        <f t="shared" si="8"/>
        <v>50000</v>
      </c>
      <c r="V17" s="127"/>
      <c r="W17" s="127">
        <f t="shared" si="9"/>
        <v>50000</v>
      </c>
      <c r="X17" s="127"/>
      <c r="Y17" s="126"/>
      <c r="Z17" s="245" t="s">
        <v>452</v>
      </c>
      <c r="AA17" s="128"/>
      <c r="AB17" s="126">
        <v>930000</v>
      </c>
      <c r="AC17" s="6">
        <v>1</v>
      </c>
      <c r="AD17" s="6"/>
    </row>
    <row r="18" spans="1:32" s="8" customFormat="1" x14ac:dyDescent="0.25">
      <c r="A18" s="126">
        <f t="shared" si="10"/>
        <v>12</v>
      </c>
      <c r="B18" s="126">
        <v>1416</v>
      </c>
      <c r="C18" s="126" t="s">
        <v>342</v>
      </c>
      <c r="D18" s="127">
        <f>1450000+200000+50000</f>
        <v>1700000</v>
      </c>
      <c r="E18" s="127">
        <v>1450000</v>
      </c>
      <c r="F18" s="127">
        <f t="shared" si="0"/>
        <v>250000</v>
      </c>
      <c r="G18" s="127">
        <v>1050000</v>
      </c>
      <c r="H18" s="127">
        <v>782207.89</v>
      </c>
      <c r="I18" s="127">
        <v>188271.26</v>
      </c>
      <c r="J18" s="127">
        <v>22986.639999999999</v>
      </c>
      <c r="K18" s="127">
        <f t="shared" si="1"/>
        <v>211257.90000000002</v>
      </c>
      <c r="L18" s="127">
        <f t="shared" si="2"/>
        <v>993465.79</v>
      </c>
      <c r="M18" s="127">
        <f t="shared" si="3"/>
        <v>56534.209999999963</v>
      </c>
      <c r="N18" s="127">
        <f>200000-100000</f>
        <v>100000</v>
      </c>
      <c r="O18" s="127">
        <f t="shared" si="4"/>
        <v>550000</v>
      </c>
      <c r="P18" s="127">
        <f t="shared" si="5"/>
        <v>56534.209999999963</v>
      </c>
      <c r="Q18" s="127"/>
      <c r="R18" s="127"/>
      <c r="S18" s="127">
        <f t="shared" si="6"/>
        <v>0</v>
      </c>
      <c r="T18" s="127">
        <f t="shared" si="7"/>
        <v>0</v>
      </c>
      <c r="U18" s="127">
        <f t="shared" si="8"/>
        <v>100000</v>
      </c>
      <c r="V18" s="127"/>
      <c r="W18" s="127">
        <f t="shared" si="9"/>
        <v>100000</v>
      </c>
      <c r="X18" s="127"/>
      <c r="Y18" s="126"/>
      <c r="Z18" s="128" t="s">
        <v>453</v>
      </c>
      <c r="AA18" s="128"/>
      <c r="AB18" s="126">
        <v>930000</v>
      </c>
      <c r="AC18" s="6">
        <v>1</v>
      </c>
      <c r="AD18" s="6"/>
    </row>
    <row r="19" spans="1:32" s="8" customFormat="1" x14ac:dyDescent="0.25">
      <c r="A19" s="126">
        <f t="shared" si="10"/>
        <v>13</v>
      </c>
      <c r="B19" s="126">
        <v>1417</v>
      </c>
      <c r="C19" s="126" t="s">
        <v>123</v>
      </c>
      <c r="D19" s="127">
        <v>300000</v>
      </c>
      <c r="E19" s="127">
        <v>300000</v>
      </c>
      <c r="F19" s="127">
        <f t="shared" si="0"/>
        <v>0</v>
      </c>
      <c r="G19" s="127">
        <v>300000</v>
      </c>
      <c r="H19" s="127">
        <v>126286.08</v>
      </c>
      <c r="I19" s="127">
        <v>8903.7800000000007</v>
      </c>
      <c r="J19" s="127">
        <v>164809.42000000001</v>
      </c>
      <c r="K19" s="127">
        <f t="shared" si="1"/>
        <v>173713.2</v>
      </c>
      <c r="L19" s="127">
        <f t="shared" si="2"/>
        <v>299999.28000000003</v>
      </c>
      <c r="M19" s="127">
        <f t="shared" si="3"/>
        <v>0.71999999997206032</v>
      </c>
      <c r="N19" s="127"/>
      <c r="O19" s="127">
        <f t="shared" si="4"/>
        <v>0</v>
      </c>
      <c r="P19" s="127">
        <f t="shared" si="5"/>
        <v>0.71999999997206032</v>
      </c>
      <c r="Q19" s="127"/>
      <c r="R19" s="127"/>
      <c r="S19" s="127">
        <f t="shared" si="6"/>
        <v>0</v>
      </c>
      <c r="T19" s="127">
        <f t="shared" si="7"/>
        <v>0</v>
      </c>
      <c r="U19" s="127">
        <f t="shared" si="8"/>
        <v>0</v>
      </c>
      <c r="V19" s="127"/>
      <c r="W19" s="127">
        <f t="shared" si="9"/>
        <v>0</v>
      </c>
      <c r="X19" s="127"/>
      <c r="Y19" s="126"/>
      <c r="Z19" s="128"/>
      <c r="AA19" s="128" t="s">
        <v>490</v>
      </c>
      <c r="AB19" s="126">
        <v>826400</v>
      </c>
      <c r="AC19" s="6"/>
      <c r="AD19" s="6"/>
      <c r="AE19" s="132"/>
      <c r="AF19" s="132"/>
    </row>
    <row r="20" spans="1:32" s="8" customFormat="1" x14ac:dyDescent="0.25">
      <c r="A20" s="126">
        <f t="shared" si="10"/>
        <v>14</v>
      </c>
      <c r="B20" s="126">
        <v>1472</v>
      </c>
      <c r="C20" s="126" t="s">
        <v>124</v>
      </c>
      <c r="D20" s="127">
        <v>21000000</v>
      </c>
      <c r="E20" s="127">
        <v>21000000</v>
      </c>
      <c r="F20" s="127">
        <f t="shared" si="0"/>
        <v>0</v>
      </c>
      <c r="G20" s="127">
        <v>11250000</v>
      </c>
      <c r="H20" s="127">
        <v>9546074.6500000004</v>
      </c>
      <c r="I20" s="127">
        <v>103071.02</v>
      </c>
      <c r="J20" s="127">
        <v>14407.8</v>
      </c>
      <c r="K20" s="127">
        <f t="shared" si="1"/>
        <v>117478.82</v>
      </c>
      <c r="L20" s="127">
        <f t="shared" si="2"/>
        <v>9663553.4700000007</v>
      </c>
      <c r="M20" s="127">
        <f t="shared" si="3"/>
        <v>1586446.5299999993</v>
      </c>
      <c r="N20" s="127">
        <f>700000-500000-100000</f>
        <v>100000</v>
      </c>
      <c r="O20" s="127">
        <f t="shared" si="4"/>
        <v>9650000</v>
      </c>
      <c r="P20" s="127">
        <f t="shared" si="5"/>
        <v>1586446.5299999993</v>
      </c>
      <c r="Q20" s="127"/>
      <c r="R20" s="127"/>
      <c r="S20" s="127">
        <f t="shared" si="6"/>
        <v>0</v>
      </c>
      <c r="T20" s="127">
        <f t="shared" si="7"/>
        <v>0</v>
      </c>
      <c r="U20" s="127">
        <f t="shared" si="8"/>
        <v>100000</v>
      </c>
      <c r="V20" s="127"/>
      <c r="W20" s="127">
        <f t="shared" si="9"/>
        <v>100000</v>
      </c>
      <c r="X20" s="127"/>
      <c r="Y20" s="126"/>
      <c r="Z20" s="128" t="s">
        <v>454</v>
      </c>
      <c r="AA20" s="128"/>
      <c r="AB20" s="126">
        <v>810000</v>
      </c>
      <c r="AC20" s="6">
        <v>1</v>
      </c>
      <c r="AD20" s="6"/>
    </row>
    <row r="21" spans="1:32" s="8" customFormat="1" x14ac:dyDescent="0.25">
      <c r="A21" s="126">
        <f t="shared" si="10"/>
        <v>15</v>
      </c>
      <c r="B21" s="126">
        <v>1474</v>
      </c>
      <c r="C21" s="126" t="s">
        <v>125</v>
      </c>
      <c r="D21" s="127">
        <v>4560000</v>
      </c>
      <c r="E21" s="127">
        <v>4560000</v>
      </c>
      <c r="F21" s="127">
        <f t="shared" si="0"/>
        <v>0</v>
      </c>
      <c r="G21" s="127">
        <v>1500000</v>
      </c>
      <c r="H21" s="127">
        <v>896865.03</v>
      </c>
      <c r="I21" s="127">
        <v>599903.74</v>
      </c>
      <c r="J21" s="127"/>
      <c r="K21" s="127">
        <f t="shared" si="1"/>
        <v>599903.74</v>
      </c>
      <c r="L21" s="127">
        <f t="shared" si="2"/>
        <v>1496768.77</v>
      </c>
      <c r="M21" s="127">
        <f t="shared" si="3"/>
        <v>3231.2299999999814</v>
      </c>
      <c r="N21" s="127">
        <f>600000-100000-200000</f>
        <v>300000</v>
      </c>
      <c r="O21" s="127">
        <f t="shared" si="4"/>
        <v>2760000</v>
      </c>
      <c r="P21" s="127">
        <f t="shared" si="5"/>
        <v>3231.2299999999814</v>
      </c>
      <c r="Q21" s="127"/>
      <c r="R21" s="127"/>
      <c r="S21" s="127">
        <f t="shared" si="6"/>
        <v>0</v>
      </c>
      <c r="T21" s="127">
        <f t="shared" si="7"/>
        <v>0</v>
      </c>
      <c r="U21" s="127">
        <f t="shared" si="8"/>
        <v>300000</v>
      </c>
      <c r="V21" s="127"/>
      <c r="W21" s="127">
        <f t="shared" si="9"/>
        <v>300000</v>
      </c>
      <c r="X21" s="127"/>
      <c r="Y21" s="126"/>
      <c r="Z21" s="128" t="s">
        <v>455</v>
      </c>
      <c r="AA21" s="134"/>
      <c r="AB21" s="126">
        <v>812000</v>
      </c>
      <c r="AC21" s="6">
        <v>1</v>
      </c>
      <c r="AD21" s="6"/>
    </row>
    <row r="22" spans="1:32" s="8" customFormat="1" x14ac:dyDescent="0.25">
      <c r="A22" s="126">
        <f t="shared" si="10"/>
        <v>16</v>
      </c>
      <c r="B22" s="126">
        <v>1475</v>
      </c>
      <c r="C22" s="126" t="s">
        <v>126</v>
      </c>
      <c r="D22" s="127">
        <v>3000000</v>
      </c>
      <c r="E22" s="127">
        <v>3000000</v>
      </c>
      <c r="F22" s="127">
        <f t="shared" si="0"/>
        <v>0</v>
      </c>
      <c r="G22" s="127">
        <v>1050000</v>
      </c>
      <c r="H22" s="127">
        <v>598404.14</v>
      </c>
      <c r="I22" s="127">
        <v>449711.15</v>
      </c>
      <c r="J22" s="127"/>
      <c r="K22" s="127">
        <f t="shared" si="1"/>
        <v>449711.15</v>
      </c>
      <c r="L22" s="127">
        <f t="shared" si="2"/>
        <v>1048115.29</v>
      </c>
      <c r="M22" s="127">
        <f t="shared" si="3"/>
        <v>1884.7099999999627</v>
      </c>
      <c r="N22" s="127">
        <f>450000-100000-100000</f>
        <v>250000</v>
      </c>
      <c r="O22" s="127">
        <f t="shared" si="4"/>
        <v>1700000</v>
      </c>
      <c r="P22" s="127">
        <f t="shared" si="5"/>
        <v>1884.7099999999627</v>
      </c>
      <c r="Q22" s="127"/>
      <c r="R22" s="127"/>
      <c r="S22" s="127">
        <f t="shared" si="6"/>
        <v>0</v>
      </c>
      <c r="T22" s="127">
        <f t="shared" si="7"/>
        <v>0</v>
      </c>
      <c r="U22" s="127">
        <f t="shared" si="8"/>
        <v>250000</v>
      </c>
      <c r="V22" s="127"/>
      <c r="W22" s="127">
        <f t="shared" si="9"/>
        <v>250000</v>
      </c>
      <c r="X22" s="127"/>
      <c r="Y22" s="126"/>
      <c r="Z22" s="128" t="s">
        <v>456</v>
      </c>
      <c r="AA22" s="134"/>
      <c r="AB22" s="126">
        <v>810000</v>
      </c>
      <c r="AC22" s="6">
        <v>1</v>
      </c>
      <c r="AD22" s="6"/>
    </row>
    <row r="23" spans="1:32" s="8" customFormat="1" x14ac:dyDescent="0.25">
      <c r="A23" s="126">
        <f t="shared" si="10"/>
        <v>17</v>
      </c>
      <c r="B23" s="126">
        <v>1476</v>
      </c>
      <c r="C23" s="126" t="s">
        <v>567</v>
      </c>
      <c r="D23" s="127">
        <v>3000000</v>
      </c>
      <c r="E23" s="127">
        <v>3000000</v>
      </c>
      <c r="F23" s="127">
        <f t="shared" si="0"/>
        <v>0</v>
      </c>
      <c r="G23" s="127">
        <v>750000</v>
      </c>
      <c r="H23" s="127">
        <v>560244.80000000005</v>
      </c>
      <c r="I23" s="127"/>
      <c r="J23" s="127"/>
      <c r="K23" s="127">
        <f t="shared" si="1"/>
        <v>0</v>
      </c>
      <c r="L23" s="127">
        <f t="shared" si="2"/>
        <v>560244.80000000005</v>
      </c>
      <c r="M23" s="127">
        <f t="shared" si="3"/>
        <v>189755.19999999995</v>
      </c>
      <c r="N23" s="127">
        <v>150000</v>
      </c>
      <c r="O23" s="127">
        <f t="shared" si="4"/>
        <v>2100000</v>
      </c>
      <c r="P23" s="127">
        <f t="shared" si="5"/>
        <v>189755.19999999995</v>
      </c>
      <c r="Q23" s="127"/>
      <c r="R23" s="127"/>
      <c r="S23" s="127">
        <f t="shared" si="6"/>
        <v>0</v>
      </c>
      <c r="T23" s="127">
        <f t="shared" si="7"/>
        <v>0</v>
      </c>
      <c r="U23" s="127">
        <f t="shared" si="8"/>
        <v>150000</v>
      </c>
      <c r="V23" s="127"/>
      <c r="W23" s="127">
        <f t="shared" si="9"/>
        <v>150000</v>
      </c>
      <c r="X23" s="127"/>
      <c r="Y23" s="126"/>
      <c r="Z23" s="128" t="s">
        <v>457</v>
      </c>
      <c r="AA23" s="134"/>
      <c r="AB23" s="126">
        <v>810000</v>
      </c>
      <c r="AC23" s="6">
        <v>1</v>
      </c>
      <c r="AD23" s="6"/>
    </row>
    <row r="24" spans="1:32" s="8" customFormat="1" x14ac:dyDescent="0.25">
      <c r="A24" s="126">
        <f t="shared" si="10"/>
        <v>18</v>
      </c>
      <c r="B24" s="126">
        <v>1477</v>
      </c>
      <c r="C24" s="126" t="s">
        <v>568</v>
      </c>
      <c r="D24" s="127">
        <v>7900000</v>
      </c>
      <c r="E24" s="127">
        <v>7900000</v>
      </c>
      <c r="F24" s="127">
        <f t="shared" si="0"/>
        <v>0</v>
      </c>
      <c r="G24" s="127">
        <v>1600000</v>
      </c>
      <c r="H24" s="127">
        <v>1011940.86</v>
      </c>
      <c r="I24" s="127">
        <v>127587.5</v>
      </c>
      <c r="J24" s="127"/>
      <c r="K24" s="127">
        <f t="shared" si="1"/>
        <v>127587.5</v>
      </c>
      <c r="L24" s="127">
        <f t="shared" si="2"/>
        <v>1139528.3599999999</v>
      </c>
      <c r="M24" s="127">
        <f t="shared" si="3"/>
        <v>760471.64000000013</v>
      </c>
      <c r="N24" s="127">
        <v>300000</v>
      </c>
      <c r="O24" s="127">
        <f t="shared" si="4"/>
        <v>5700000</v>
      </c>
      <c r="P24" s="127">
        <f t="shared" si="5"/>
        <v>460471.64000000013</v>
      </c>
      <c r="Q24" s="127">
        <v>300000</v>
      </c>
      <c r="R24" s="127"/>
      <c r="S24" s="127">
        <f t="shared" si="6"/>
        <v>300000</v>
      </c>
      <c r="T24" s="127">
        <f t="shared" si="7"/>
        <v>0</v>
      </c>
      <c r="U24" s="127">
        <f t="shared" si="8"/>
        <v>300000</v>
      </c>
      <c r="V24" s="127">
        <v>300000</v>
      </c>
      <c r="W24" s="127">
        <f t="shared" si="9"/>
        <v>0</v>
      </c>
      <c r="X24" s="127"/>
      <c r="Y24" s="126"/>
      <c r="Z24" s="128" t="s">
        <v>458</v>
      </c>
      <c r="AA24" s="128"/>
      <c r="AB24" s="126">
        <v>810000</v>
      </c>
      <c r="AC24" s="6">
        <v>1</v>
      </c>
      <c r="AD24" s="6"/>
    </row>
    <row r="25" spans="1:32" s="8" customFormat="1" x14ac:dyDescent="0.25">
      <c r="A25" s="126">
        <f t="shared" si="10"/>
        <v>19</v>
      </c>
      <c r="B25" s="126">
        <v>1478</v>
      </c>
      <c r="C25" s="126" t="s">
        <v>127</v>
      </c>
      <c r="D25" s="127">
        <v>5000000</v>
      </c>
      <c r="E25" s="127">
        <v>5000000</v>
      </c>
      <c r="F25" s="127">
        <f t="shared" si="0"/>
        <v>0</v>
      </c>
      <c r="G25" s="127">
        <v>1600000</v>
      </c>
      <c r="H25" s="127">
        <v>1074070.1599999999</v>
      </c>
      <c r="I25" s="127">
        <v>453931.67</v>
      </c>
      <c r="J25" s="127"/>
      <c r="K25" s="127">
        <f t="shared" si="1"/>
        <v>453931.67</v>
      </c>
      <c r="L25" s="127">
        <f t="shared" si="2"/>
        <v>1528001.8299999998</v>
      </c>
      <c r="M25" s="127">
        <f t="shared" si="3"/>
        <v>71998.170000000158</v>
      </c>
      <c r="N25" s="127">
        <f>500000-200000-100000</f>
        <v>200000</v>
      </c>
      <c r="O25" s="127">
        <f t="shared" si="4"/>
        <v>3200000</v>
      </c>
      <c r="P25" s="127">
        <f t="shared" si="5"/>
        <v>71998.170000000158</v>
      </c>
      <c r="Q25" s="127"/>
      <c r="R25" s="127"/>
      <c r="S25" s="127">
        <f t="shared" si="6"/>
        <v>0</v>
      </c>
      <c r="T25" s="127">
        <f t="shared" si="7"/>
        <v>0</v>
      </c>
      <c r="U25" s="127">
        <f t="shared" si="8"/>
        <v>200000</v>
      </c>
      <c r="V25" s="127"/>
      <c r="W25" s="127">
        <f t="shared" si="9"/>
        <v>200000</v>
      </c>
      <c r="X25" s="127"/>
      <c r="Y25" s="126"/>
      <c r="Z25" s="245" t="s">
        <v>459</v>
      </c>
      <c r="AA25" s="134"/>
      <c r="AB25" s="126">
        <v>930000</v>
      </c>
      <c r="AC25" s="6">
        <v>1</v>
      </c>
      <c r="AD25" s="6"/>
    </row>
    <row r="26" spans="1:32" s="8" customFormat="1" x14ac:dyDescent="0.25">
      <c r="A26" s="126">
        <f t="shared" si="10"/>
        <v>20</v>
      </c>
      <c r="B26" s="126">
        <v>1479</v>
      </c>
      <c r="C26" s="126" t="s">
        <v>128</v>
      </c>
      <c r="D26" s="127">
        <v>2500000</v>
      </c>
      <c r="E26" s="127">
        <v>2500000</v>
      </c>
      <c r="F26" s="127">
        <f t="shared" si="0"/>
        <v>0</v>
      </c>
      <c r="G26" s="127">
        <v>1050000</v>
      </c>
      <c r="H26" s="127">
        <v>681947.72</v>
      </c>
      <c r="I26" s="127">
        <v>163965.82999999999</v>
      </c>
      <c r="J26" s="127">
        <v>9066.33</v>
      </c>
      <c r="K26" s="127">
        <f t="shared" si="1"/>
        <v>173032.15999999997</v>
      </c>
      <c r="L26" s="127">
        <f t="shared" si="2"/>
        <v>854979.87999999989</v>
      </c>
      <c r="M26" s="127">
        <f t="shared" si="3"/>
        <v>345020.12000000011</v>
      </c>
      <c r="N26" s="127">
        <f>500000-300000</f>
        <v>200000</v>
      </c>
      <c r="O26" s="127">
        <f t="shared" si="4"/>
        <v>1100000</v>
      </c>
      <c r="P26" s="127">
        <f t="shared" si="5"/>
        <v>195020.12000000011</v>
      </c>
      <c r="Q26" s="127">
        <v>150000</v>
      </c>
      <c r="R26" s="127"/>
      <c r="S26" s="127">
        <f t="shared" si="6"/>
        <v>150000</v>
      </c>
      <c r="T26" s="127">
        <f t="shared" si="7"/>
        <v>0</v>
      </c>
      <c r="U26" s="127">
        <f t="shared" si="8"/>
        <v>200000</v>
      </c>
      <c r="V26" s="127"/>
      <c r="W26" s="127">
        <f t="shared" si="9"/>
        <v>200000</v>
      </c>
      <c r="X26" s="127"/>
      <c r="Y26" s="126"/>
      <c r="Z26" s="128" t="s">
        <v>460</v>
      </c>
      <c r="AA26" s="134"/>
      <c r="AB26" s="126">
        <v>810000</v>
      </c>
      <c r="AC26" s="6">
        <v>1</v>
      </c>
      <c r="AD26" s="6"/>
    </row>
    <row r="27" spans="1:32" s="8" customFormat="1" x14ac:dyDescent="0.25">
      <c r="A27" s="126">
        <f t="shared" si="10"/>
        <v>21</v>
      </c>
      <c r="B27" s="126">
        <v>1480</v>
      </c>
      <c r="C27" s="126" t="s">
        <v>129</v>
      </c>
      <c r="D27" s="127">
        <v>4500000</v>
      </c>
      <c r="E27" s="127">
        <v>4500000</v>
      </c>
      <c r="F27" s="127">
        <f t="shared" si="0"/>
        <v>0</v>
      </c>
      <c r="G27" s="127">
        <v>2000000</v>
      </c>
      <c r="H27" s="127">
        <v>1714069.91</v>
      </c>
      <c r="I27" s="127">
        <v>267980.03999999998</v>
      </c>
      <c r="J27" s="127"/>
      <c r="K27" s="127">
        <f t="shared" si="1"/>
        <v>267980.03999999998</v>
      </c>
      <c r="L27" s="127">
        <f t="shared" si="2"/>
        <v>1982049.95</v>
      </c>
      <c r="M27" s="127">
        <f t="shared" si="3"/>
        <v>17950.050000000047</v>
      </c>
      <c r="N27" s="127">
        <f>1500000-750000-250000</f>
        <v>500000</v>
      </c>
      <c r="O27" s="127">
        <f t="shared" si="4"/>
        <v>2000000</v>
      </c>
      <c r="P27" s="127">
        <f t="shared" si="5"/>
        <v>17950.050000000047</v>
      </c>
      <c r="Q27" s="127"/>
      <c r="R27" s="127"/>
      <c r="S27" s="127">
        <f t="shared" si="6"/>
        <v>0</v>
      </c>
      <c r="T27" s="127">
        <f t="shared" si="7"/>
        <v>0</v>
      </c>
      <c r="U27" s="127">
        <f t="shared" si="8"/>
        <v>500000</v>
      </c>
      <c r="V27" s="127"/>
      <c r="W27" s="127">
        <f t="shared" si="9"/>
        <v>500000</v>
      </c>
      <c r="X27" s="127"/>
      <c r="Y27" s="126"/>
      <c r="Z27" s="128" t="s">
        <v>461</v>
      </c>
      <c r="AA27" s="128"/>
      <c r="AB27" s="126">
        <v>810000</v>
      </c>
      <c r="AC27" s="6">
        <v>1</v>
      </c>
      <c r="AD27" s="6"/>
    </row>
    <row r="28" spans="1:32" s="8" customFormat="1" x14ac:dyDescent="0.25">
      <c r="A28" s="126">
        <f t="shared" si="10"/>
        <v>22</v>
      </c>
      <c r="B28" s="126">
        <v>1481</v>
      </c>
      <c r="C28" s="126" t="s">
        <v>130</v>
      </c>
      <c r="D28" s="127">
        <f>8000000+10000000-750000</f>
        <v>17250000</v>
      </c>
      <c r="E28" s="127">
        <v>8000000</v>
      </c>
      <c r="F28" s="127">
        <f t="shared" si="0"/>
        <v>9250000</v>
      </c>
      <c r="G28" s="127">
        <v>3050000</v>
      </c>
      <c r="H28" s="127">
        <v>2565653.98</v>
      </c>
      <c r="I28" s="127">
        <v>451823.18</v>
      </c>
      <c r="J28" s="127"/>
      <c r="K28" s="127">
        <f t="shared" si="1"/>
        <v>451823.18</v>
      </c>
      <c r="L28" s="127">
        <f t="shared" si="2"/>
        <v>3017477.16</v>
      </c>
      <c r="M28" s="127">
        <f t="shared" si="3"/>
        <v>1762522.8399999999</v>
      </c>
      <c r="N28" s="127">
        <f>5500000-2800000-500000</f>
        <v>2200000</v>
      </c>
      <c r="O28" s="127">
        <f t="shared" si="4"/>
        <v>10270000</v>
      </c>
      <c r="P28" s="127">
        <f t="shared" si="5"/>
        <v>32522.839999999851</v>
      </c>
      <c r="Q28" s="127"/>
      <c r="R28" s="127">
        <v>1730000</v>
      </c>
      <c r="S28" s="127">
        <f t="shared" si="6"/>
        <v>1730000</v>
      </c>
      <c r="T28" s="127">
        <f t="shared" si="7"/>
        <v>0</v>
      </c>
      <c r="U28" s="127">
        <f t="shared" si="8"/>
        <v>2200000</v>
      </c>
      <c r="V28" s="127">
        <v>1700000</v>
      </c>
      <c r="W28" s="127">
        <f t="shared" si="9"/>
        <v>500000</v>
      </c>
      <c r="X28" s="127"/>
      <c r="Y28" s="126"/>
      <c r="Z28" s="128" t="s">
        <v>462</v>
      </c>
      <c r="AA28" s="128"/>
      <c r="AB28" s="126">
        <v>743000</v>
      </c>
      <c r="AC28" s="6">
        <v>1</v>
      </c>
      <c r="AD28" s="6"/>
    </row>
    <row r="29" spans="1:32" s="8" customFormat="1" x14ac:dyDescent="0.25">
      <c r="A29" s="126">
        <f t="shared" si="10"/>
        <v>23</v>
      </c>
      <c r="B29" s="126">
        <v>1482</v>
      </c>
      <c r="C29" s="126" t="s">
        <v>131</v>
      </c>
      <c r="D29" s="127">
        <v>5000000</v>
      </c>
      <c r="E29" s="127">
        <v>5000000</v>
      </c>
      <c r="F29" s="127">
        <f t="shared" si="0"/>
        <v>0</v>
      </c>
      <c r="G29" s="127">
        <v>1200000</v>
      </c>
      <c r="H29" s="127">
        <v>1001748.62</v>
      </c>
      <c r="I29" s="127">
        <v>90650.18</v>
      </c>
      <c r="J29" s="127"/>
      <c r="K29" s="127">
        <f t="shared" si="1"/>
        <v>90650.18</v>
      </c>
      <c r="L29" s="127">
        <f t="shared" si="2"/>
        <v>1092398.8</v>
      </c>
      <c r="M29" s="127">
        <f t="shared" si="3"/>
        <v>207601.19999999995</v>
      </c>
      <c r="N29" s="127">
        <f>300000-150000</f>
        <v>150000</v>
      </c>
      <c r="O29" s="127">
        <f t="shared" si="4"/>
        <v>3550000</v>
      </c>
      <c r="P29" s="127">
        <f t="shared" si="5"/>
        <v>107601.19999999995</v>
      </c>
      <c r="Q29" s="127">
        <v>100000</v>
      </c>
      <c r="R29" s="127"/>
      <c r="S29" s="127">
        <f t="shared" si="6"/>
        <v>100000</v>
      </c>
      <c r="T29" s="127">
        <f t="shared" si="7"/>
        <v>0</v>
      </c>
      <c r="U29" s="127">
        <f t="shared" si="8"/>
        <v>150000</v>
      </c>
      <c r="V29" s="127"/>
      <c r="W29" s="127">
        <f t="shared" si="9"/>
        <v>150000</v>
      </c>
      <c r="X29" s="127"/>
      <c r="Y29" s="126"/>
      <c r="Z29" s="128" t="s">
        <v>463</v>
      </c>
      <c r="AA29" s="134"/>
      <c r="AB29" s="126">
        <v>810000</v>
      </c>
      <c r="AC29" s="6">
        <v>1</v>
      </c>
      <c r="AD29" s="6"/>
    </row>
    <row r="30" spans="1:32" s="8" customFormat="1" x14ac:dyDescent="0.25">
      <c r="A30" s="126">
        <f t="shared" si="10"/>
        <v>24</v>
      </c>
      <c r="B30" s="126">
        <v>1483</v>
      </c>
      <c r="C30" s="126" t="s">
        <v>132</v>
      </c>
      <c r="D30" s="127">
        <v>2700000</v>
      </c>
      <c r="E30" s="127">
        <v>2700000</v>
      </c>
      <c r="F30" s="127">
        <f t="shared" si="0"/>
        <v>0</v>
      </c>
      <c r="G30" s="127">
        <v>900000</v>
      </c>
      <c r="H30" s="127">
        <v>598725.56999999995</v>
      </c>
      <c r="I30" s="127">
        <v>9750.7800000000007</v>
      </c>
      <c r="J30" s="127"/>
      <c r="K30" s="127">
        <f t="shared" si="1"/>
        <v>9750.7800000000007</v>
      </c>
      <c r="L30" s="127">
        <f t="shared" si="2"/>
        <v>608476.35</v>
      </c>
      <c r="M30" s="127">
        <f t="shared" si="3"/>
        <v>291523.65000000002</v>
      </c>
      <c r="N30" s="127">
        <v>300000</v>
      </c>
      <c r="O30" s="127">
        <f t="shared" si="4"/>
        <v>1500000</v>
      </c>
      <c r="P30" s="127">
        <f t="shared" si="5"/>
        <v>291523.65000000002</v>
      </c>
      <c r="Q30" s="127"/>
      <c r="R30" s="127"/>
      <c r="S30" s="127">
        <f t="shared" si="6"/>
        <v>0</v>
      </c>
      <c r="T30" s="127">
        <f t="shared" si="7"/>
        <v>0</v>
      </c>
      <c r="U30" s="127">
        <f t="shared" si="8"/>
        <v>300000</v>
      </c>
      <c r="V30" s="127"/>
      <c r="W30" s="127">
        <f t="shared" si="9"/>
        <v>300000</v>
      </c>
      <c r="X30" s="127"/>
      <c r="Y30" s="126"/>
      <c r="Z30" s="128" t="s">
        <v>464</v>
      </c>
      <c r="AA30" s="134"/>
      <c r="AB30" s="126">
        <v>812000</v>
      </c>
      <c r="AC30" s="6">
        <v>1</v>
      </c>
      <c r="AD30" s="6"/>
    </row>
    <row r="31" spans="1:32" s="8" customFormat="1" x14ac:dyDescent="0.25">
      <c r="A31" s="126">
        <f t="shared" si="10"/>
        <v>25</v>
      </c>
      <c r="B31" s="126">
        <v>1484</v>
      </c>
      <c r="C31" s="126" t="s">
        <v>133</v>
      </c>
      <c r="D31" s="127">
        <v>3150000</v>
      </c>
      <c r="E31" s="127">
        <v>3150000</v>
      </c>
      <c r="F31" s="127">
        <f t="shared" si="0"/>
        <v>0</v>
      </c>
      <c r="G31" s="127">
        <v>1950000</v>
      </c>
      <c r="H31" s="127">
        <v>1650455.82</v>
      </c>
      <c r="I31" s="127">
        <v>149151.73000000001</v>
      </c>
      <c r="J31" s="127"/>
      <c r="K31" s="127">
        <f t="shared" si="1"/>
        <v>149151.73000000001</v>
      </c>
      <c r="L31" s="127">
        <f t="shared" si="2"/>
        <v>1799607.55</v>
      </c>
      <c r="M31" s="127">
        <f t="shared" si="3"/>
        <v>150392.44999999995</v>
      </c>
      <c r="N31" s="127">
        <v>300000</v>
      </c>
      <c r="O31" s="127">
        <f t="shared" si="4"/>
        <v>900000</v>
      </c>
      <c r="P31" s="127">
        <f t="shared" si="5"/>
        <v>150392.44999999995</v>
      </c>
      <c r="Q31" s="127"/>
      <c r="R31" s="127"/>
      <c r="S31" s="127">
        <f t="shared" si="6"/>
        <v>0</v>
      </c>
      <c r="T31" s="127">
        <f t="shared" si="7"/>
        <v>0</v>
      </c>
      <c r="U31" s="127">
        <f t="shared" si="8"/>
        <v>300000</v>
      </c>
      <c r="V31" s="127"/>
      <c r="W31" s="127">
        <f t="shared" si="9"/>
        <v>300000</v>
      </c>
      <c r="X31" s="127"/>
      <c r="Y31" s="126"/>
      <c r="Z31" s="128" t="s">
        <v>483</v>
      </c>
      <c r="AA31" s="247"/>
      <c r="AB31" s="126">
        <v>742000</v>
      </c>
      <c r="AC31" s="131">
        <v>2</v>
      </c>
      <c r="AD31" s="131"/>
    </row>
    <row r="32" spans="1:32" s="8" customFormat="1" x14ac:dyDescent="0.25">
      <c r="A32" s="126">
        <f t="shared" si="10"/>
        <v>26</v>
      </c>
      <c r="B32" s="126">
        <v>1485</v>
      </c>
      <c r="C32" s="126" t="s">
        <v>134</v>
      </c>
      <c r="D32" s="127">
        <v>2200000</v>
      </c>
      <c r="E32" s="127">
        <v>2200000</v>
      </c>
      <c r="F32" s="127">
        <f t="shared" si="0"/>
        <v>0</v>
      </c>
      <c r="G32" s="127">
        <v>1100000</v>
      </c>
      <c r="H32" s="127">
        <v>920449.78</v>
      </c>
      <c r="I32" s="127">
        <v>79184.850000000006</v>
      </c>
      <c r="J32" s="127"/>
      <c r="K32" s="127">
        <f t="shared" si="1"/>
        <v>79184.850000000006</v>
      </c>
      <c r="L32" s="127">
        <f t="shared" si="2"/>
        <v>999634.63</v>
      </c>
      <c r="M32" s="127">
        <f t="shared" si="3"/>
        <v>100365.37</v>
      </c>
      <c r="N32" s="127">
        <v>300000</v>
      </c>
      <c r="O32" s="127">
        <f t="shared" si="4"/>
        <v>800000</v>
      </c>
      <c r="P32" s="127">
        <f t="shared" si="5"/>
        <v>100365.37</v>
      </c>
      <c r="Q32" s="127"/>
      <c r="R32" s="127"/>
      <c r="S32" s="127">
        <f t="shared" si="6"/>
        <v>0</v>
      </c>
      <c r="T32" s="127">
        <f t="shared" si="7"/>
        <v>0</v>
      </c>
      <c r="U32" s="127">
        <f t="shared" si="8"/>
        <v>300000</v>
      </c>
      <c r="V32" s="127"/>
      <c r="W32" s="127">
        <f t="shared" si="9"/>
        <v>300000</v>
      </c>
      <c r="X32" s="127"/>
      <c r="Y32" s="126"/>
      <c r="Z32" s="128" t="s">
        <v>484</v>
      </c>
      <c r="AA32" s="247"/>
      <c r="AB32" s="126">
        <v>742000</v>
      </c>
      <c r="AC32" s="131">
        <v>2</v>
      </c>
      <c r="AD32" s="131"/>
    </row>
    <row r="33" spans="1:32" s="8" customFormat="1" ht="15" customHeight="1" x14ac:dyDescent="0.25">
      <c r="A33" s="126">
        <f t="shared" si="10"/>
        <v>27</v>
      </c>
      <c r="B33" s="126">
        <v>1489</v>
      </c>
      <c r="C33" s="126" t="s">
        <v>136</v>
      </c>
      <c r="D33" s="127">
        <f>21200000+3000000+20000000+2000000</f>
        <v>46200000</v>
      </c>
      <c r="E33" s="127">
        <v>21200000</v>
      </c>
      <c r="F33" s="127">
        <f t="shared" si="0"/>
        <v>25000000</v>
      </c>
      <c r="G33" s="127">
        <v>21200000</v>
      </c>
      <c r="H33" s="127">
        <v>16365634.390000001</v>
      </c>
      <c r="I33" s="127">
        <v>4715212.4000000004</v>
      </c>
      <c r="J33" s="127">
        <v>80524.27</v>
      </c>
      <c r="K33" s="127">
        <f t="shared" si="1"/>
        <v>4795736.67</v>
      </c>
      <c r="L33" s="127">
        <f t="shared" si="2"/>
        <v>21161371.060000002</v>
      </c>
      <c r="M33" s="127">
        <f t="shared" si="3"/>
        <v>1338628.9399999976</v>
      </c>
      <c r="N33" s="127">
        <f>5000000-2000000-500000+500000</f>
        <v>3000000</v>
      </c>
      <c r="O33" s="127">
        <f t="shared" si="4"/>
        <v>20700000</v>
      </c>
      <c r="P33" s="127">
        <f t="shared" si="5"/>
        <v>38628.939999997616</v>
      </c>
      <c r="Q33" s="127"/>
      <c r="R33" s="127">
        <v>1300000</v>
      </c>
      <c r="S33" s="127">
        <f t="shared" si="6"/>
        <v>1300000</v>
      </c>
      <c r="T33" s="127">
        <f t="shared" si="7"/>
        <v>0</v>
      </c>
      <c r="U33" s="127">
        <f t="shared" si="8"/>
        <v>3000000</v>
      </c>
      <c r="V33" s="127">
        <v>1000000</v>
      </c>
      <c r="W33" s="127">
        <f t="shared" si="9"/>
        <v>2000000</v>
      </c>
      <c r="X33" s="127"/>
      <c r="Y33" s="126"/>
      <c r="Z33" s="128" t="s">
        <v>465</v>
      </c>
      <c r="AA33" s="128"/>
      <c r="AB33" s="6">
        <v>742000</v>
      </c>
      <c r="AC33" s="6">
        <v>1</v>
      </c>
      <c r="AD33" s="6"/>
    </row>
    <row r="34" spans="1:32" s="8" customFormat="1" ht="15.6" x14ac:dyDescent="0.3">
      <c r="A34" s="126">
        <f t="shared" si="10"/>
        <v>28</v>
      </c>
      <c r="B34" s="126">
        <v>1514</v>
      </c>
      <c r="C34" s="133" t="s">
        <v>137</v>
      </c>
      <c r="D34" s="127">
        <v>850000</v>
      </c>
      <c r="E34" s="127">
        <v>850000</v>
      </c>
      <c r="F34" s="127">
        <f t="shared" si="0"/>
        <v>0</v>
      </c>
      <c r="G34" s="127">
        <v>750000</v>
      </c>
      <c r="H34" s="127">
        <v>691313.61</v>
      </c>
      <c r="I34" s="127"/>
      <c r="J34" s="127"/>
      <c r="K34" s="127">
        <f t="shared" si="1"/>
        <v>0</v>
      </c>
      <c r="L34" s="127">
        <f t="shared" si="2"/>
        <v>691313.61</v>
      </c>
      <c r="M34" s="127">
        <f t="shared" si="3"/>
        <v>58686.390000000014</v>
      </c>
      <c r="N34" s="127"/>
      <c r="O34" s="127">
        <f t="shared" si="4"/>
        <v>100000</v>
      </c>
      <c r="P34" s="127">
        <f t="shared" si="5"/>
        <v>58686.390000000014</v>
      </c>
      <c r="Q34" s="127"/>
      <c r="R34" s="127"/>
      <c r="S34" s="127">
        <f t="shared" si="6"/>
        <v>0</v>
      </c>
      <c r="T34" s="127">
        <f t="shared" si="7"/>
        <v>0</v>
      </c>
      <c r="U34" s="127">
        <f t="shared" si="8"/>
        <v>0</v>
      </c>
      <c r="V34" s="127"/>
      <c r="W34" s="127">
        <f t="shared" si="9"/>
        <v>0</v>
      </c>
      <c r="X34" s="127"/>
      <c r="Y34" s="126"/>
      <c r="Z34" s="128"/>
      <c r="AA34" s="128"/>
      <c r="AB34" s="6">
        <v>724000</v>
      </c>
      <c r="AC34" s="6"/>
      <c r="AD34" s="6"/>
      <c r="AE34" s="132"/>
      <c r="AF34" s="132"/>
    </row>
    <row r="35" spans="1:32" s="8" customFormat="1" x14ac:dyDescent="0.25">
      <c r="A35" s="126">
        <f t="shared" si="10"/>
        <v>29</v>
      </c>
      <c r="B35" s="126">
        <v>1532</v>
      </c>
      <c r="C35" s="126" t="s">
        <v>639</v>
      </c>
      <c r="D35" s="127">
        <f>2800000+1400000+400000-1800000</f>
        <v>2800000</v>
      </c>
      <c r="E35" s="127">
        <v>2800000</v>
      </c>
      <c r="F35" s="127">
        <f t="shared" si="0"/>
        <v>0</v>
      </c>
      <c r="G35" s="127">
        <v>900000</v>
      </c>
      <c r="H35" s="127">
        <v>813270.8</v>
      </c>
      <c r="I35" s="127"/>
      <c r="J35" s="127"/>
      <c r="K35" s="127">
        <f t="shared" si="1"/>
        <v>0</v>
      </c>
      <c r="L35" s="127">
        <f t="shared" si="2"/>
        <v>813270.8</v>
      </c>
      <c r="M35" s="127">
        <f t="shared" si="3"/>
        <v>86729.199999999953</v>
      </c>
      <c r="N35" s="127"/>
      <c r="O35" s="127">
        <f t="shared" si="4"/>
        <v>1900000</v>
      </c>
      <c r="P35" s="127">
        <f t="shared" si="5"/>
        <v>86729.199999999953</v>
      </c>
      <c r="Q35" s="127"/>
      <c r="R35" s="127"/>
      <c r="S35" s="127">
        <f t="shared" si="6"/>
        <v>0</v>
      </c>
      <c r="T35" s="127">
        <f t="shared" si="7"/>
        <v>0</v>
      </c>
      <c r="U35" s="127">
        <f t="shared" si="8"/>
        <v>0</v>
      </c>
      <c r="V35" s="127"/>
      <c r="W35" s="127">
        <f t="shared" si="9"/>
        <v>0</v>
      </c>
      <c r="X35" s="127"/>
      <c r="Y35" s="127"/>
      <c r="Z35" s="128"/>
      <c r="AA35" s="128" t="s">
        <v>485</v>
      </c>
      <c r="AB35" s="6">
        <v>743000</v>
      </c>
      <c r="AC35" s="6">
        <v>2</v>
      </c>
      <c r="AD35" s="6"/>
    </row>
    <row r="36" spans="1:32" s="8" customFormat="1" x14ac:dyDescent="0.25">
      <c r="A36" s="126">
        <f t="shared" si="10"/>
        <v>30</v>
      </c>
      <c r="B36" s="126">
        <v>1558</v>
      </c>
      <c r="C36" s="126" t="s">
        <v>138</v>
      </c>
      <c r="D36" s="127">
        <v>820000</v>
      </c>
      <c r="E36" s="127">
        <v>820000</v>
      </c>
      <c r="F36" s="127">
        <f t="shared" si="0"/>
        <v>0</v>
      </c>
      <c r="G36" s="127">
        <v>120000</v>
      </c>
      <c r="H36" s="127">
        <v>110882.42</v>
      </c>
      <c r="I36" s="127"/>
      <c r="J36" s="127"/>
      <c r="K36" s="127">
        <f t="shared" si="1"/>
        <v>0</v>
      </c>
      <c r="L36" s="127">
        <f t="shared" si="2"/>
        <v>110882.42</v>
      </c>
      <c r="M36" s="127">
        <f t="shared" si="3"/>
        <v>9117.5800000000017</v>
      </c>
      <c r="N36" s="127"/>
      <c r="O36" s="127">
        <f t="shared" si="4"/>
        <v>700000</v>
      </c>
      <c r="P36" s="127">
        <f t="shared" si="5"/>
        <v>9117.5800000000017</v>
      </c>
      <c r="Q36" s="127"/>
      <c r="R36" s="127"/>
      <c r="S36" s="127">
        <f t="shared" si="6"/>
        <v>0</v>
      </c>
      <c r="T36" s="127">
        <f t="shared" si="7"/>
        <v>0</v>
      </c>
      <c r="U36" s="127">
        <f t="shared" si="8"/>
        <v>0</v>
      </c>
      <c r="V36" s="127"/>
      <c r="W36" s="127">
        <f t="shared" si="9"/>
        <v>0</v>
      </c>
      <c r="X36" s="127"/>
      <c r="Y36" s="126"/>
      <c r="Z36" s="128"/>
      <c r="AA36" s="128" t="s">
        <v>491</v>
      </c>
      <c r="AB36" s="126">
        <v>720000</v>
      </c>
      <c r="AC36" s="6"/>
      <c r="AD36" s="6"/>
      <c r="AE36" s="132"/>
      <c r="AF36" s="132"/>
    </row>
    <row r="37" spans="1:32" s="8" customFormat="1" x14ac:dyDescent="0.25">
      <c r="A37" s="126">
        <f t="shared" si="10"/>
        <v>31</v>
      </c>
      <c r="B37" s="126">
        <v>1560</v>
      </c>
      <c r="C37" s="126" t="s">
        <v>139</v>
      </c>
      <c r="D37" s="127">
        <f>2000000+1506000+81000</f>
        <v>3587000</v>
      </c>
      <c r="E37" s="127">
        <v>2000000</v>
      </c>
      <c r="F37" s="127">
        <f t="shared" si="0"/>
        <v>1587000</v>
      </c>
      <c r="G37" s="127">
        <v>1500000</v>
      </c>
      <c r="H37" s="127">
        <v>994148.45</v>
      </c>
      <c r="I37" s="127">
        <v>61365.05</v>
      </c>
      <c r="J37" s="127"/>
      <c r="K37" s="127">
        <f t="shared" si="1"/>
        <v>61365.05</v>
      </c>
      <c r="L37" s="127">
        <f t="shared" si="2"/>
        <v>1055513.5</v>
      </c>
      <c r="M37" s="127">
        <f t="shared" si="3"/>
        <v>444486.5</v>
      </c>
      <c r="N37" s="127">
        <f>2087000-1707000+300000</f>
        <v>680000</v>
      </c>
      <c r="O37" s="127">
        <f t="shared" si="4"/>
        <v>1407000</v>
      </c>
      <c r="P37" s="127">
        <f t="shared" si="5"/>
        <v>444486.5</v>
      </c>
      <c r="Q37" s="127"/>
      <c r="R37" s="127"/>
      <c r="S37" s="127">
        <f t="shared" si="6"/>
        <v>0</v>
      </c>
      <c r="T37" s="127">
        <f t="shared" si="7"/>
        <v>0</v>
      </c>
      <c r="U37" s="127">
        <f t="shared" si="8"/>
        <v>680000</v>
      </c>
      <c r="V37" s="127">
        <f>120000+260000</f>
        <v>380000</v>
      </c>
      <c r="W37" s="127">
        <f t="shared" si="9"/>
        <v>300000</v>
      </c>
      <c r="X37" s="127"/>
      <c r="Y37" s="126"/>
      <c r="Z37" s="128" t="s">
        <v>466</v>
      </c>
      <c r="AA37" s="128"/>
      <c r="AB37" s="126">
        <v>746000</v>
      </c>
      <c r="AC37" s="6">
        <v>1</v>
      </c>
      <c r="AD37" s="6"/>
    </row>
    <row r="38" spans="1:32" s="8" customFormat="1" ht="15.75" customHeight="1" x14ac:dyDescent="0.3">
      <c r="A38" s="126">
        <f t="shared" si="10"/>
        <v>32</v>
      </c>
      <c r="B38" s="126">
        <v>1561</v>
      </c>
      <c r="C38" s="133" t="s">
        <v>140</v>
      </c>
      <c r="D38" s="127">
        <v>3500000</v>
      </c>
      <c r="E38" s="127">
        <v>3500000</v>
      </c>
      <c r="F38" s="127">
        <f t="shared" si="0"/>
        <v>0</v>
      </c>
      <c r="G38" s="127">
        <v>3500000</v>
      </c>
      <c r="H38" s="127">
        <v>3332571.51</v>
      </c>
      <c r="I38" s="127"/>
      <c r="J38" s="127">
        <v>38181.29</v>
      </c>
      <c r="K38" s="127">
        <f t="shared" si="1"/>
        <v>38181.29</v>
      </c>
      <c r="L38" s="127">
        <f t="shared" si="2"/>
        <v>3370752.8</v>
      </c>
      <c r="M38" s="127">
        <f t="shared" si="3"/>
        <v>129247.20000000019</v>
      </c>
      <c r="N38" s="127"/>
      <c r="O38" s="127">
        <f t="shared" si="4"/>
        <v>0</v>
      </c>
      <c r="P38" s="127">
        <f t="shared" si="5"/>
        <v>129247.20000000019</v>
      </c>
      <c r="Q38" s="127"/>
      <c r="R38" s="127"/>
      <c r="S38" s="127">
        <f t="shared" si="6"/>
        <v>0</v>
      </c>
      <c r="T38" s="127">
        <f t="shared" si="7"/>
        <v>0</v>
      </c>
      <c r="U38" s="127">
        <f t="shared" si="8"/>
        <v>0</v>
      </c>
      <c r="V38" s="127"/>
      <c r="W38" s="127">
        <f t="shared" si="9"/>
        <v>0</v>
      </c>
      <c r="X38" s="127"/>
      <c r="Y38" s="127"/>
      <c r="Z38" s="128"/>
      <c r="AA38" s="128"/>
      <c r="AB38" s="126">
        <v>829000</v>
      </c>
      <c r="AC38" s="126"/>
      <c r="AD38" s="126"/>
    </row>
    <row r="39" spans="1:32" s="8" customFormat="1" x14ac:dyDescent="0.25">
      <c r="A39" s="126">
        <f t="shared" si="10"/>
        <v>33</v>
      </c>
      <c r="B39" s="126">
        <v>1562</v>
      </c>
      <c r="C39" s="126" t="s">
        <v>607</v>
      </c>
      <c r="D39" s="127">
        <v>420000</v>
      </c>
      <c r="E39" s="127">
        <v>420000</v>
      </c>
      <c r="F39" s="127">
        <f t="shared" ref="F39:F70" si="11">D39-E39</f>
        <v>0</v>
      </c>
      <c r="G39" s="127">
        <v>120000</v>
      </c>
      <c r="H39" s="127">
        <v>118143.41</v>
      </c>
      <c r="I39" s="127"/>
      <c r="J39" s="127"/>
      <c r="K39" s="127">
        <f t="shared" ref="K39:K68" si="12">SUM(I39:J39)</f>
        <v>0</v>
      </c>
      <c r="L39" s="127">
        <f t="shared" ref="L39:L58" si="13">H39+K39</f>
        <v>118143.41</v>
      </c>
      <c r="M39" s="127">
        <f t="shared" ref="M39:M68" si="14">P39+S39</f>
        <v>1856.5899999999965</v>
      </c>
      <c r="N39" s="127"/>
      <c r="O39" s="127">
        <f t="shared" ref="O39:O70" si="15">D39-L39-M39-N39</f>
        <v>300000</v>
      </c>
      <c r="P39" s="127">
        <f t="shared" ref="P39:P68" si="16">G39-L39</f>
        <v>1856.5899999999965</v>
      </c>
      <c r="Q39" s="127"/>
      <c r="R39" s="127"/>
      <c r="S39" s="127">
        <f t="shared" ref="S39:S68" si="17">SUM(Q39:R39)</f>
        <v>0</v>
      </c>
      <c r="T39" s="127">
        <f t="shared" ref="T39:T68" si="18">P39-M39+S39</f>
        <v>0</v>
      </c>
      <c r="U39" s="127">
        <f t="shared" ref="U39:U70" si="19">N39-T39</f>
        <v>0</v>
      </c>
      <c r="V39" s="127"/>
      <c r="W39" s="127">
        <f t="shared" ref="W39:W70" si="20">U39-V39-X39-Y39</f>
        <v>0</v>
      </c>
      <c r="X39" s="127"/>
      <c r="Y39" s="126"/>
      <c r="Z39" s="128" t="s">
        <v>488</v>
      </c>
      <c r="AA39" s="128"/>
      <c r="AB39" s="126">
        <v>930000</v>
      </c>
      <c r="AC39" s="6">
        <v>3</v>
      </c>
      <c r="AD39" s="6"/>
      <c r="AE39" s="132"/>
      <c r="AF39" s="132"/>
    </row>
    <row r="40" spans="1:32" s="8" customFormat="1" x14ac:dyDescent="0.25">
      <c r="A40" s="126">
        <f t="shared" si="10"/>
        <v>34</v>
      </c>
      <c r="B40" s="126">
        <v>1623</v>
      </c>
      <c r="C40" s="126" t="s">
        <v>611</v>
      </c>
      <c r="D40" s="127">
        <v>1500000</v>
      </c>
      <c r="E40" s="127">
        <v>1500000</v>
      </c>
      <c r="F40" s="127">
        <f t="shared" si="11"/>
        <v>0</v>
      </c>
      <c r="G40" s="127">
        <v>0</v>
      </c>
      <c r="H40" s="127">
        <v>0</v>
      </c>
      <c r="I40" s="127"/>
      <c r="J40" s="127"/>
      <c r="K40" s="127">
        <f t="shared" si="12"/>
        <v>0</v>
      </c>
      <c r="L40" s="127">
        <f t="shared" si="13"/>
        <v>0</v>
      </c>
      <c r="M40" s="127">
        <f t="shared" si="14"/>
        <v>0</v>
      </c>
      <c r="N40" s="127"/>
      <c r="O40" s="127">
        <f t="shared" si="15"/>
        <v>1500000</v>
      </c>
      <c r="P40" s="127">
        <f t="shared" si="16"/>
        <v>0</v>
      </c>
      <c r="Q40" s="127"/>
      <c r="R40" s="127"/>
      <c r="S40" s="127">
        <f t="shared" si="17"/>
        <v>0</v>
      </c>
      <c r="T40" s="127">
        <f t="shared" si="18"/>
        <v>0</v>
      </c>
      <c r="U40" s="127">
        <f t="shared" si="19"/>
        <v>0</v>
      </c>
      <c r="V40" s="127"/>
      <c r="W40" s="127">
        <f t="shared" si="20"/>
        <v>0</v>
      </c>
      <c r="X40" s="127"/>
      <c r="Y40" s="126"/>
      <c r="Z40" s="128"/>
      <c r="AA40" s="134"/>
      <c r="AB40" s="126">
        <v>829000</v>
      </c>
      <c r="AC40" s="126"/>
      <c r="AD40" s="126"/>
    </row>
    <row r="41" spans="1:32" s="8" customFormat="1" x14ac:dyDescent="0.25">
      <c r="A41" s="126">
        <f t="shared" si="10"/>
        <v>35</v>
      </c>
      <c r="B41" s="126">
        <v>1624</v>
      </c>
      <c r="C41" s="126" t="s">
        <v>142</v>
      </c>
      <c r="D41" s="127">
        <v>300000</v>
      </c>
      <c r="E41" s="127">
        <v>300000</v>
      </c>
      <c r="F41" s="127">
        <f t="shared" si="11"/>
        <v>0</v>
      </c>
      <c r="G41" s="127">
        <v>300000</v>
      </c>
      <c r="H41" s="127">
        <v>228330.39</v>
      </c>
      <c r="I41" s="127"/>
      <c r="J41" s="127">
        <v>18024.72</v>
      </c>
      <c r="K41" s="127">
        <f t="shared" si="12"/>
        <v>18024.72</v>
      </c>
      <c r="L41" s="127">
        <f t="shared" si="13"/>
        <v>246355.11000000002</v>
      </c>
      <c r="M41" s="127">
        <f t="shared" si="14"/>
        <v>53644.889999999985</v>
      </c>
      <c r="N41" s="127"/>
      <c r="O41" s="127">
        <f t="shared" si="15"/>
        <v>0</v>
      </c>
      <c r="P41" s="127">
        <f t="shared" si="16"/>
        <v>53644.889999999985</v>
      </c>
      <c r="Q41" s="127"/>
      <c r="R41" s="127"/>
      <c r="S41" s="127">
        <f t="shared" si="17"/>
        <v>0</v>
      </c>
      <c r="T41" s="127">
        <f t="shared" si="18"/>
        <v>0</v>
      </c>
      <c r="U41" s="127">
        <f t="shared" si="19"/>
        <v>0</v>
      </c>
      <c r="V41" s="127"/>
      <c r="W41" s="127">
        <f t="shared" si="20"/>
        <v>0</v>
      </c>
      <c r="X41" s="127"/>
      <c r="Y41" s="126"/>
      <c r="Z41" s="128"/>
      <c r="AA41" s="128" t="s">
        <v>492</v>
      </c>
      <c r="AB41" s="126">
        <v>850000</v>
      </c>
      <c r="AC41" s="6"/>
      <c r="AD41" s="6"/>
    </row>
    <row r="42" spans="1:32" s="8" customFormat="1" x14ac:dyDescent="0.25">
      <c r="A42" s="126">
        <f t="shared" si="10"/>
        <v>36</v>
      </c>
      <c r="B42" s="126">
        <v>1636</v>
      </c>
      <c r="C42" s="126" t="s">
        <v>143</v>
      </c>
      <c r="D42" s="127">
        <v>12450000</v>
      </c>
      <c r="E42" s="127">
        <v>12450000</v>
      </c>
      <c r="F42" s="127">
        <f t="shared" si="11"/>
        <v>0</v>
      </c>
      <c r="G42" s="127">
        <v>250000</v>
      </c>
      <c r="H42" s="127">
        <v>0</v>
      </c>
      <c r="I42" s="127">
        <v>12390</v>
      </c>
      <c r="J42" s="127"/>
      <c r="K42" s="127">
        <f t="shared" si="12"/>
        <v>12390</v>
      </c>
      <c r="L42" s="127">
        <f t="shared" si="13"/>
        <v>12390</v>
      </c>
      <c r="M42" s="127">
        <f t="shared" si="14"/>
        <v>237610</v>
      </c>
      <c r="N42" s="127"/>
      <c r="O42" s="127">
        <f t="shared" si="15"/>
        <v>12200000</v>
      </c>
      <c r="P42" s="127">
        <f t="shared" si="16"/>
        <v>237610</v>
      </c>
      <c r="Q42" s="127"/>
      <c r="R42" s="127"/>
      <c r="S42" s="127">
        <f t="shared" si="17"/>
        <v>0</v>
      </c>
      <c r="T42" s="127">
        <f t="shared" si="18"/>
        <v>0</v>
      </c>
      <c r="U42" s="127">
        <f t="shared" si="19"/>
        <v>0</v>
      </c>
      <c r="V42" s="127"/>
      <c r="W42" s="127">
        <f t="shared" si="20"/>
        <v>0</v>
      </c>
      <c r="X42" s="127"/>
      <c r="Y42" s="126"/>
      <c r="Z42" s="128"/>
      <c r="AA42" s="128"/>
      <c r="AB42" s="126">
        <v>870000</v>
      </c>
      <c r="AC42" s="14"/>
      <c r="AD42" s="14"/>
    </row>
    <row r="43" spans="1:32" s="8" customFormat="1" x14ac:dyDescent="0.25">
      <c r="A43" s="126">
        <f t="shared" si="10"/>
        <v>37</v>
      </c>
      <c r="B43" s="126">
        <v>1639</v>
      </c>
      <c r="C43" s="126" t="s">
        <v>144</v>
      </c>
      <c r="D43" s="127">
        <v>240000</v>
      </c>
      <c r="E43" s="127">
        <v>240000</v>
      </c>
      <c r="F43" s="127">
        <f t="shared" si="11"/>
        <v>0</v>
      </c>
      <c r="G43" s="127">
        <v>240000</v>
      </c>
      <c r="H43" s="127">
        <v>149566</v>
      </c>
      <c r="I43" s="127"/>
      <c r="J43" s="127"/>
      <c r="K43" s="127">
        <f t="shared" si="12"/>
        <v>0</v>
      </c>
      <c r="L43" s="127">
        <f t="shared" si="13"/>
        <v>149566</v>
      </c>
      <c r="M43" s="127">
        <f t="shared" si="14"/>
        <v>90434</v>
      </c>
      <c r="N43" s="127"/>
      <c r="O43" s="127">
        <f t="shared" si="15"/>
        <v>0</v>
      </c>
      <c r="P43" s="127">
        <f t="shared" si="16"/>
        <v>90434</v>
      </c>
      <c r="Q43" s="127"/>
      <c r="R43" s="127"/>
      <c r="S43" s="127">
        <f t="shared" si="17"/>
        <v>0</v>
      </c>
      <c r="T43" s="127">
        <f t="shared" si="18"/>
        <v>0</v>
      </c>
      <c r="U43" s="127">
        <f t="shared" si="19"/>
        <v>0</v>
      </c>
      <c r="V43" s="127"/>
      <c r="W43" s="127">
        <f t="shared" si="20"/>
        <v>0</v>
      </c>
      <c r="X43" s="127"/>
      <c r="Y43" s="126"/>
      <c r="Z43" s="128"/>
      <c r="AA43" s="128"/>
      <c r="AB43" s="126">
        <v>810000</v>
      </c>
      <c r="AC43" s="6"/>
      <c r="AD43" s="6"/>
    </row>
    <row r="44" spans="1:32" s="8" customFormat="1" x14ac:dyDescent="0.25">
      <c r="A44" s="126">
        <f t="shared" si="10"/>
        <v>38</v>
      </c>
      <c r="B44" s="126">
        <v>1655</v>
      </c>
      <c r="C44" s="126" t="s">
        <v>145</v>
      </c>
      <c r="D44" s="127">
        <v>1350000</v>
      </c>
      <c r="E44" s="127">
        <v>1350000</v>
      </c>
      <c r="F44" s="127">
        <f t="shared" si="11"/>
        <v>0</v>
      </c>
      <c r="G44" s="127">
        <v>1350000</v>
      </c>
      <c r="H44" s="127">
        <v>1238466</v>
      </c>
      <c r="I44" s="127"/>
      <c r="J44" s="127"/>
      <c r="K44" s="127">
        <f t="shared" si="12"/>
        <v>0</v>
      </c>
      <c r="L44" s="127">
        <f t="shared" si="13"/>
        <v>1238466</v>
      </c>
      <c r="M44" s="127">
        <f t="shared" si="14"/>
        <v>111534</v>
      </c>
      <c r="N44" s="127"/>
      <c r="O44" s="127">
        <f t="shared" si="15"/>
        <v>0</v>
      </c>
      <c r="P44" s="127">
        <f t="shared" si="16"/>
        <v>111534</v>
      </c>
      <c r="Q44" s="127"/>
      <c r="R44" s="127"/>
      <c r="S44" s="127">
        <f t="shared" si="17"/>
        <v>0</v>
      </c>
      <c r="T44" s="127">
        <f t="shared" si="18"/>
        <v>0</v>
      </c>
      <c r="U44" s="127">
        <f t="shared" si="19"/>
        <v>0</v>
      </c>
      <c r="V44" s="127"/>
      <c r="W44" s="127">
        <f t="shared" si="20"/>
        <v>0</v>
      </c>
      <c r="X44" s="127"/>
      <c r="Y44" s="126"/>
      <c r="Z44" s="128"/>
      <c r="AA44" s="128"/>
      <c r="AB44" s="126">
        <v>824000</v>
      </c>
      <c r="AC44" s="126"/>
      <c r="AD44" s="126"/>
    </row>
    <row r="45" spans="1:32" s="8" customFormat="1" x14ac:dyDescent="0.25">
      <c r="A45" s="126">
        <f t="shared" si="10"/>
        <v>39</v>
      </c>
      <c r="B45" s="126">
        <v>1662</v>
      </c>
      <c r="C45" s="126" t="s">
        <v>571</v>
      </c>
      <c r="D45" s="127">
        <f>360000+165000</f>
        <v>525000</v>
      </c>
      <c r="E45" s="127">
        <v>360000</v>
      </c>
      <c r="F45" s="127">
        <f t="shared" si="11"/>
        <v>165000</v>
      </c>
      <c r="G45" s="127">
        <v>170000</v>
      </c>
      <c r="H45" s="127">
        <v>2781.97</v>
      </c>
      <c r="I45" s="127"/>
      <c r="J45" s="127"/>
      <c r="K45" s="127">
        <f t="shared" si="12"/>
        <v>0</v>
      </c>
      <c r="L45" s="127">
        <f t="shared" si="13"/>
        <v>2781.97</v>
      </c>
      <c r="M45" s="127">
        <f t="shared" si="14"/>
        <v>167218.03</v>
      </c>
      <c r="N45" s="127">
        <f>355000-100000</f>
        <v>255000</v>
      </c>
      <c r="O45" s="127">
        <f t="shared" si="15"/>
        <v>100000</v>
      </c>
      <c r="P45" s="127">
        <f t="shared" si="16"/>
        <v>167218.03</v>
      </c>
      <c r="Q45" s="127"/>
      <c r="R45" s="127"/>
      <c r="S45" s="127">
        <f t="shared" si="17"/>
        <v>0</v>
      </c>
      <c r="T45" s="127">
        <f t="shared" si="18"/>
        <v>0</v>
      </c>
      <c r="U45" s="127">
        <f t="shared" si="19"/>
        <v>255000</v>
      </c>
      <c r="V45" s="127"/>
      <c r="W45" s="127">
        <f t="shared" si="20"/>
        <v>255000</v>
      </c>
      <c r="X45" s="127"/>
      <c r="Y45" s="127"/>
      <c r="Z45" s="128"/>
      <c r="AA45" s="128"/>
      <c r="AB45" s="126">
        <v>870000</v>
      </c>
      <c r="AC45" s="126"/>
      <c r="AD45" s="126"/>
    </row>
    <row r="46" spans="1:32" s="8" customFormat="1" x14ac:dyDescent="0.25">
      <c r="A46" s="126">
        <f t="shared" si="10"/>
        <v>40</v>
      </c>
      <c r="B46" s="126">
        <v>1667</v>
      </c>
      <c r="C46" s="126" t="s">
        <v>146</v>
      </c>
      <c r="D46" s="127">
        <v>2500000</v>
      </c>
      <c r="E46" s="127">
        <v>2500000</v>
      </c>
      <c r="F46" s="127">
        <f t="shared" si="11"/>
        <v>0</v>
      </c>
      <c r="G46" s="127">
        <v>2500000</v>
      </c>
      <c r="H46" s="127">
        <v>2476240.02</v>
      </c>
      <c r="I46" s="127"/>
      <c r="J46" s="127"/>
      <c r="K46" s="127">
        <f t="shared" si="12"/>
        <v>0</v>
      </c>
      <c r="L46" s="127">
        <f t="shared" si="13"/>
        <v>2476240.02</v>
      </c>
      <c r="M46" s="127">
        <f t="shared" si="14"/>
        <v>23759.979999999981</v>
      </c>
      <c r="N46" s="127"/>
      <c r="O46" s="127">
        <f t="shared" si="15"/>
        <v>0</v>
      </c>
      <c r="P46" s="127">
        <f t="shared" si="16"/>
        <v>23759.979999999981</v>
      </c>
      <c r="Q46" s="127"/>
      <c r="R46" s="127"/>
      <c r="S46" s="127">
        <f t="shared" si="17"/>
        <v>0</v>
      </c>
      <c r="T46" s="127">
        <f t="shared" si="18"/>
        <v>0</v>
      </c>
      <c r="U46" s="127">
        <f t="shared" si="19"/>
        <v>0</v>
      </c>
      <c r="V46" s="127"/>
      <c r="W46" s="127">
        <f t="shared" si="20"/>
        <v>0</v>
      </c>
      <c r="X46" s="127"/>
      <c r="Y46" s="126"/>
      <c r="Z46" s="128"/>
      <c r="AA46" s="128" t="s">
        <v>492</v>
      </c>
      <c r="AB46" s="126">
        <v>829000</v>
      </c>
      <c r="AC46" s="126"/>
      <c r="AD46" s="126"/>
    </row>
    <row r="47" spans="1:32" s="8" customFormat="1" x14ac:dyDescent="0.25">
      <c r="A47" s="126">
        <f t="shared" si="10"/>
        <v>41</v>
      </c>
      <c r="B47" s="126">
        <v>1676</v>
      </c>
      <c r="C47" s="126" t="s">
        <v>147</v>
      </c>
      <c r="D47" s="127">
        <v>43215000</v>
      </c>
      <c r="E47" s="127">
        <v>43215000</v>
      </c>
      <c r="F47" s="127">
        <f t="shared" si="11"/>
        <v>0</v>
      </c>
      <c r="G47" s="127">
        <v>43215000</v>
      </c>
      <c r="H47" s="127">
        <v>40370994.240000002</v>
      </c>
      <c r="I47" s="127">
        <v>225943.67</v>
      </c>
      <c r="J47" s="127">
        <v>1509121.26</v>
      </c>
      <c r="K47" s="127">
        <f t="shared" si="12"/>
        <v>1735064.93</v>
      </c>
      <c r="L47" s="127">
        <f t="shared" si="13"/>
        <v>42106059.170000002</v>
      </c>
      <c r="M47" s="127">
        <f t="shared" si="14"/>
        <v>1108940.8299999982</v>
      </c>
      <c r="N47" s="127"/>
      <c r="O47" s="127">
        <f t="shared" si="15"/>
        <v>0</v>
      </c>
      <c r="P47" s="127">
        <f t="shared" si="16"/>
        <v>1108940.8299999982</v>
      </c>
      <c r="Q47" s="127"/>
      <c r="R47" s="127"/>
      <c r="S47" s="127">
        <f t="shared" si="17"/>
        <v>0</v>
      </c>
      <c r="T47" s="127">
        <f t="shared" si="18"/>
        <v>0</v>
      </c>
      <c r="U47" s="127">
        <f t="shared" si="19"/>
        <v>0</v>
      </c>
      <c r="V47" s="127"/>
      <c r="W47" s="127">
        <f t="shared" si="20"/>
        <v>0</v>
      </c>
      <c r="X47" s="127"/>
      <c r="Y47" s="126"/>
      <c r="Z47" s="128"/>
      <c r="AA47" s="128"/>
      <c r="AB47" s="126">
        <v>810000</v>
      </c>
      <c r="AC47" s="126"/>
      <c r="AD47" s="126"/>
    </row>
    <row r="48" spans="1:32" s="8" customFormat="1" x14ac:dyDescent="0.25">
      <c r="A48" s="126">
        <f t="shared" si="10"/>
        <v>42</v>
      </c>
      <c r="B48" s="126">
        <v>1677</v>
      </c>
      <c r="C48" s="126" t="s">
        <v>148</v>
      </c>
      <c r="D48" s="127">
        <f>25500000-6500000</f>
        <v>19000000</v>
      </c>
      <c r="E48" s="127">
        <v>25500000</v>
      </c>
      <c r="F48" s="127">
        <f t="shared" si="11"/>
        <v>-6500000</v>
      </c>
      <c r="G48" s="127">
        <v>19000000</v>
      </c>
      <c r="H48" s="127">
        <v>13952810.460000001</v>
      </c>
      <c r="I48" s="127">
        <v>476062.18</v>
      </c>
      <c r="J48" s="127">
        <v>3250911.81</v>
      </c>
      <c r="K48" s="127">
        <f t="shared" si="12"/>
        <v>3726973.99</v>
      </c>
      <c r="L48" s="127">
        <f t="shared" si="13"/>
        <v>17679784.450000003</v>
      </c>
      <c r="M48" s="127">
        <f t="shared" si="14"/>
        <v>1320215.549999997</v>
      </c>
      <c r="N48" s="127"/>
      <c r="O48" s="127">
        <f t="shared" si="15"/>
        <v>0</v>
      </c>
      <c r="P48" s="127">
        <f t="shared" si="16"/>
        <v>1320215.549999997</v>
      </c>
      <c r="Q48" s="127"/>
      <c r="R48" s="127"/>
      <c r="S48" s="127">
        <f t="shared" si="17"/>
        <v>0</v>
      </c>
      <c r="T48" s="127">
        <f t="shared" si="18"/>
        <v>0</v>
      </c>
      <c r="U48" s="127">
        <f t="shared" si="19"/>
        <v>0</v>
      </c>
      <c r="V48" s="127"/>
      <c r="W48" s="127">
        <f t="shared" si="20"/>
        <v>0</v>
      </c>
      <c r="X48" s="127"/>
      <c r="Y48" s="127"/>
      <c r="Z48" s="128"/>
      <c r="AA48" s="128"/>
      <c r="AB48" s="126">
        <v>810000</v>
      </c>
      <c r="AC48" s="126"/>
      <c r="AD48" s="126"/>
    </row>
    <row r="49" spans="1:30" s="8" customFormat="1" x14ac:dyDescent="0.25">
      <c r="A49" s="126">
        <f t="shared" si="10"/>
        <v>43</v>
      </c>
      <c r="B49" s="126">
        <v>1691</v>
      </c>
      <c r="C49" s="126" t="s">
        <v>150</v>
      </c>
      <c r="D49" s="127">
        <v>210000</v>
      </c>
      <c r="E49" s="127">
        <v>210000</v>
      </c>
      <c r="F49" s="127">
        <f t="shared" si="11"/>
        <v>0</v>
      </c>
      <c r="G49" s="127">
        <v>210000</v>
      </c>
      <c r="H49" s="127">
        <v>167013.91</v>
      </c>
      <c r="I49" s="127"/>
      <c r="J49" s="127">
        <v>39106.82</v>
      </c>
      <c r="K49" s="127">
        <f t="shared" si="12"/>
        <v>39106.82</v>
      </c>
      <c r="L49" s="127">
        <f t="shared" si="13"/>
        <v>206120.73</v>
      </c>
      <c r="M49" s="127">
        <f t="shared" si="14"/>
        <v>3879.2699999999895</v>
      </c>
      <c r="N49" s="127"/>
      <c r="O49" s="127">
        <f t="shared" si="15"/>
        <v>0</v>
      </c>
      <c r="P49" s="127">
        <f t="shared" si="16"/>
        <v>3879.2699999999895</v>
      </c>
      <c r="Q49" s="127"/>
      <c r="R49" s="127"/>
      <c r="S49" s="127">
        <f t="shared" si="17"/>
        <v>0</v>
      </c>
      <c r="T49" s="127">
        <f t="shared" si="18"/>
        <v>0</v>
      </c>
      <c r="U49" s="127">
        <f t="shared" si="19"/>
        <v>0</v>
      </c>
      <c r="V49" s="127"/>
      <c r="W49" s="127">
        <f t="shared" si="20"/>
        <v>0</v>
      </c>
      <c r="X49" s="127"/>
      <c r="Y49" s="126"/>
      <c r="Z49" s="128"/>
      <c r="AA49" s="128"/>
      <c r="AB49" s="126">
        <v>810000</v>
      </c>
      <c r="AC49" s="126"/>
      <c r="AD49" s="126"/>
    </row>
    <row r="50" spans="1:30" s="8" customFormat="1" x14ac:dyDescent="0.25">
      <c r="A50" s="126">
        <f t="shared" si="10"/>
        <v>44</v>
      </c>
      <c r="B50" s="126">
        <v>1697</v>
      </c>
      <c r="C50" s="126" t="s">
        <v>151</v>
      </c>
      <c r="D50" s="127">
        <v>120000</v>
      </c>
      <c r="E50" s="127">
        <v>120000</v>
      </c>
      <c r="F50" s="127">
        <f t="shared" si="11"/>
        <v>0</v>
      </c>
      <c r="G50" s="127">
        <v>120000</v>
      </c>
      <c r="H50" s="127">
        <v>73624.62</v>
      </c>
      <c r="I50" s="127"/>
      <c r="J50" s="127"/>
      <c r="K50" s="127">
        <f t="shared" si="12"/>
        <v>0</v>
      </c>
      <c r="L50" s="127">
        <f t="shared" si="13"/>
        <v>73624.62</v>
      </c>
      <c r="M50" s="127">
        <f t="shared" si="14"/>
        <v>46375.380000000005</v>
      </c>
      <c r="N50" s="127"/>
      <c r="O50" s="127">
        <f t="shared" si="15"/>
        <v>0</v>
      </c>
      <c r="P50" s="127">
        <f t="shared" si="16"/>
        <v>46375.380000000005</v>
      </c>
      <c r="Q50" s="127"/>
      <c r="R50" s="127"/>
      <c r="S50" s="127">
        <f t="shared" si="17"/>
        <v>0</v>
      </c>
      <c r="T50" s="127">
        <f t="shared" si="18"/>
        <v>0</v>
      </c>
      <c r="U50" s="127">
        <f t="shared" si="19"/>
        <v>0</v>
      </c>
      <c r="V50" s="127"/>
      <c r="W50" s="127">
        <f t="shared" si="20"/>
        <v>0</v>
      </c>
      <c r="X50" s="127"/>
      <c r="Y50" s="126"/>
      <c r="Z50" s="128"/>
      <c r="AA50" s="128"/>
      <c r="AB50" s="126">
        <v>723000</v>
      </c>
      <c r="AC50" s="126"/>
      <c r="AD50" s="126"/>
    </row>
    <row r="51" spans="1:30" s="8" customFormat="1" x14ac:dyDescent="0.25">
      <c r="A51" s="126">
        <f t="shared" si="10"/>
        <v>45</v>
      </c>
      <c r="B51" s="126">
        <v>1698</v>
      </c>
      <c r="C51" s="126" t="s">
        <v>152</v>
      </c>
      <c r="D51" s="127">
        <f>800000-400000</f>
        <v>400000</v>
      </c>
      <c r="E51" s="127">
        <v>800000</v>
      </c>
      <c r="F51" s="127">
        <f t="shared" si="11"/>
        <v>-400000</v>
      </c>
      <c r="G51" s="127">
        <v>400000</v>
      </c>
      <c r="H51" s="127">
        <v>171312.2</v>
      </c>
      <c r="I51" s="127"/>
      <c r="J51" s="127"/>
      <c r="K51" s="127">
        <f t="shared" si="12"/>
        <v>0</v>
      </c>
      <c r="L51" s="127">
        <f t="shared" si="13"/>
        <v>171312.2</v>
      </c>
      <c r="M51" s="127">
        <f t="shared" si="14"/>
        <v>228687.8</v>
      </c>
      <c r="N51" s="127"/>
      <c r="O51" s="127">
        <f t="shared" si="15"/>
        <v>0</v>
      </c>
      <c r="P51" s="127">
        <f t="shared" si="16"/>
        <v>228687.8</v>
      </c>
      <c r="Q51" s="127"/>
      <c r="R51" s="127"/>
      <c r="S51" s="127">
        <f t="shared" si="17"/>
        <v>0</v>
      </c>
      <c r="T51" s="127">
        <f t="shared" si="18"/>
        <v>0</v>
      </c>
      <c r="U51" s="127">
        <f t="shared" si="19"/>
        <v>0</v>
      </c>
      <c r="V51" s="127"/>
      <c r="W51" s="127">
        <f t="shared" si="20"/>
        <v>0</v>
      </c>
      <c r="X51" s="127"/>
      <c r="Y51" s="126"/>
      <c r="Z51" s="128"/>
      <c r="AA51" s="128"/>
      <c r="AB51" s="126">
        <v>743000</v>
      </c>
      <c r="AC51" s="126"/>
      <c r="AD51" s="126"/>
    </row>
    <row r="52" spans="1:30" s="8" customFormat="1" x14ac:dyDescent="0.25">
      <c r="A52" s="126">
        <f t="shared" si="10"/>
        <v>46</v>
      </c>
      <c r="B52" s="126">
        <v>1699</v>
      </c>
      <c r="C52" s="126" t="s">
        <v>153</v>
      </c>
      <c r="D52" s="127">
        <v>3130000</v>
      </c>
      <c r="E52" s="127">
        <v>3130000</v>
      </c>
      <c r="F52" s="127">
        <f t="shared" si="11"/>
        <v>0</v>
      </c>
      <c r="G52" s="127">
        <v>3130000</v>
      </c>
      <c r="H52" s="127">
        <v>2675112.35</v>
      </c>
      <c r="I52" s="127"/>
      <c r="J52" s="127">
        <v>81484.899999999994</v>
      </c>
      <c r="K52" s="127">
        <f t="shared" si="12"/>
        <v>81484.899999999994</v>
      </c>
      <c r="L52" s="127">
        <f t="shared" si="13"/>
        <v>2756597.25</v>
      </c>
      <c r="M52" s="127">
        <f t="shared" si="14"/>
        <v>373402.75</v>
      </c>
      <c r="N52" s="127"/>
      <c r="O52" s="127">
        <f t="shared" si="15"/>
        <v>0</v>
      </c>
      <c r="P52" s="127">
        <f t="shared" si="16"/>
        <v>373402.75</v>
      </c>
      <c r="Q52" s="127"/>
      <c r="R52" s="127"/>
      <c r="S52" s="127">
        <f t="shared" si="17"/>
        <v>0</v>
      </c>
      <c r="T52" s="127">
        <f t="shared" si="18"/>
        <v>0</v>
      </c>
      <c r="U52" s="127">
        <f t="shared" si="19"/>
        <v>0</v>
      </c>
      <c r="V52" s="127"/>
      <c r="W52" s="127">
        <f t="shared" si="20"/>
        <v>0</v>
      </c>
      <c r="X52" s="127"/>
      <c r="Y52" s="126"/>
      <c r="Z52" s="128"/>
      <c r="AA52" s="128"/>
      <c r="AB52" s="126">
        <v>817300</v>
      </c>
      <c r="AC52" s="126"/>
      <c r="AD52" s="126"/>
    </row>
    <row r="53" spans="1:30" s="8" customFormat="1" x14ac:dyDescent="0.25">
      <c r="A53" s="126">
        <f t="shared" si="10"/>
        <v>47</v>
      </c>
      <c r="B53" s="126">
        <v>1702</v>
      </c>
      <c r="C53" s="126" t="s">
        <v>154</v>
      </c>
      <c r="D53" s="127">
        <v>580000</v>
      </c>
      <c r="E53" s="127">
        <v>580000</v>
      </c>
      <c r="F53" s="127">
        <f t="shared" si="11"/>
        <v>0</v>
      </c>
      <c r="G53" s="127">
        <v>580000</v>
      </c>
      <c r="H53" s="127">
        <v>511539.34</v>
      </c>
      <c r="I53" s="127">
        <v>4591.38</v>
      </c>
      <c r="J53" s="127"/>
      <c r="K53" s="127">
        <f t="shared" si="12"/>
        <v>4591.38</v>
      </c>
      <c r="L53" s="127">
        <f t="shared" si="13"/>
        <v>516130.72000000003</v>
      </c>
      <c r="M53" s="127">
        <f t="shared" si="14"/>
        <v>63869.27999999997</v>
      </c>
      <c r="N53" s="127"/>
      <c r="O53" s="127">
        <f t="shared" si="15"/>
        <v>0</v>
      </c>
      <c r="P53" s="127">
        <f t="shared" si="16"/>
        <v>63869.27999999997</v>
      </c>
      <c r="Q53" s="127"/>
      <c r="R53" s="127"/>
      <c r="S53" s="127">
        <f t="shared" si="17"/>
        <v>0</v>
      </c>
      <c r="T53" s="127">
        <f t="shared" si="18"/>
        <v>0</v>
      </c>
      <c r="U53" s="127">
        <f t="shared" si="19"/>
        <v>0</v>
      </c>
      <c r="V53" s="127"/>
      <c r="W53" s="127">
        <f t="shared" si="20"/>
        <v>0</v>
      </c>
      <c r="X53" s="127"/>
      <c r="Y53" s="126"/>
      <c r="Z53" s="128"/>
      <c r="AA53" s="128"/>
      <c r="AB53" s="126">
        <v>760000</v>
      </c>
      <c r="AC53" s="126"/>
      <c r="AD53" s="126"/>
    </row>
    <row r="54" spans="1:30" s="8" customFormat="1" x14ac:dyDescent="0.25">
      <c r="A54" s="126">
        <f t="shared" si="10"/>
        <v>48</v>
      </c>
      <c r="B54" s="126">
        <v>1703</v>
      </c>
      <c r="C54" s="126" t="s">
        <v>155</v>
      </c>
      <c r="D54" s="127">
        <v>550000</v>
      </c>
      <c r="E54" s="127">
        <v>550000</v>
      </c>
      <c r="F54" s="127">
        <f t="shared" si="11"/>
        <v>0</v>
      </c>
      <c r="G54" s="127">
        <v>550000</v>
      </c>
      <c r="H54" s="127">
        <v>249783.33</v>
      </c>
      <c r="I54" s="127">
        <v>24978.66</v>
      </c>
      <c r="J54" s="127"/>
      <c r="K54" s="127">
        <f t="shared" si="12"/>
        <v>24978.66</v>
      </c>
      <c r="L54" s="127">
        <f t="shared" si="13"/>
        <v>274761.99</v>
      </c>
      <c r="M54" s="127">
        <f t="shared" si="14"/>
        <v>275238.01</v>
      </c>
      <c r="N54" s="127"/>
      <c r="O54" s="127">
        <f t="shared" si="15"/>
        <v>0</v>
      </c>
      <c r="P54" s="127">
        <f t="shared" si="16"/>
        <v>275238.01</v>
      </c>
      <c r="Q54" s="127"/>
      <c r="R54" s="127"/>
      <c r="S54" s="127">
        <f t="shared" si="17"/>
        <v>0</v>
      </c>
      <c r="T54" s="127">
        <f t="shared" si="18"/>
        <v>0</v>
      </c>
      <c r="U54" s="127">
        <f t="shared" si="19"/>
        <v>0</v>
      </c>
      <c r="V54" s="127"/>
      <c r="W54" s="127">
        <f t="shared" si="20"/>
        <v>0</v>
      </c>
      <c r="X54" s="127"/>
      <c r="Y54" s="126"/>
      <c r="Z54" s="128"/>
      <c r="AA54" s="128" t="s">
        <v>493</v>
      </c>
      <c r="AB54" s="126">
        <v>810000</v>
      </c>
      <c r="AC54" s="126"/>
      <c r="AD54" s="126"/>
    </row>
    <row r="55" spans="1:30" s="8" customFormat="1" x14ac:dyDescent="0.25">
      <c r="A55" s="126">
        <f t="shared" si="10"/>
        <v>49</v>
      </c>
      <c r="B55" s="126">
        <v>1706</v>
      </c>
      <c r="C55" s="126" t="s">
        <v>156</v>
      </c>
      <c r="D55" s="127">
        <v>300000</v>
      </c>
      <c r="E55" s="127">
        <v>300000</v>
      </c>
      <c r="F55" s="127">
        <f t="shared" si="11"/>
        <v>0</v>
      </c>
      <c r="G55" s="127">
        <v>300000</v>
      </c>
      <c r="H55" s="127">
        <v>294705</v>
      </c>
      <c r="I55" s="127"/>
      <c r="J55" s="127">
        <v>2640</v>
      </c>
      <c r="K55" s="127">
        <f t="shared" si="12"/>
        <v>2640</v>
      </c>
      <c r="L55" s="127">
        <f t="shared" si="13"/>
        <v>297345</v>
      </c>
      <c r="M55" s="127">
        <f t="shared" si="14"/>
        <v>2655</v>
      </c>
      <c r="N55" s="127"/>
      <c r="O55" s="127">
        <f t="shared" si="15"/>
        <v>0</v>
      </c>
      <c r="P55" s="127">
        <f t="shared" si="16"/>
        <v>2655</v>
      </c>
      <c r="Q55" s="127"/>
      <c r="R55" s="127"/>
      <c r="S55" s="127">
        <f t="shared" si="17"/>
        <v>0</v>
      </c>
      <c r="T55" s="127">
        <f t="shared" si="18"/>
        <v>0</v>
      </c>
      <c r="U55" s="127">
        <f t="shared" si="19"/>
        <v>0</v>
      </c>
      <c r="V55" s="127"/>
      <c r="W55" s="127">
        <f t="shared" si="20"/>
        <v>0</v>
      </c>
      <c r="X55" s="127"/>
      <c r="Y55" s="126"/>
      <c r="Z55" s="128"/>
      <c r="AA55" s="128"/>
      <c r="AB55" s="126">
        <v>810000</v>
      </c>
      <c r="AC55" s="126"/>
      <c r="AD55" s="126"/>
    </row>
    <row r="56" spans="1:30" s="8" customFormat="1" x14ac:dyDescent="0.25">
      <c r="A56" s="126">
        <f t="shared" si="10"/>
        <v>50</v>
      </c>
      <c r="B56" s="126">
        <v>1713</v>
      </c>
      <c r="C56" s="126" t="s">
        <v>157</v>
      </c>
      <c r="D56" s="127">
        <v>300000</v>
      </c>
      <c r="E56" s="127">
        <v>300000</v>
      </c>
      <c r="F56" s="127">
        <f t="shared" si="11"/>
        <v>0</v>
      </c>
      <c r="G56" s="127">
        <v>300000</v>
      </c>
      <c r="H56" s="127">
        <v>0</v>
      </c>
      <c r="I56" s="127">
        <v>80535</v>
      </c>
      <c r="J56" s="127"/>
      <c r="K56" s="127">
        <f t="shared" si="12"/>
        <v>80535</v>
      </c>
      <c r="L56" s="127">
        <f t="shared" si="13"/>
        <v>80535</v>
      </c>
      <c r="M56" s="127">
        <f t="shared" si="14"/>
        <v>219465</v>
      </c>
      <c r="N56" s="127"/>
      <c r="O56" s="127">
        <f t="shared" si="15"/>
        <v>0</v>
      </c>
      <c r="P56" s="127">
        <f t="shared" si="16"/>
        <v>219465</v>
      </c>
      <c r="Q56" s="127"/>
      <c r="R56" s="127"/>
      <c r="S56" s="127">
        <f t="shared" si="17"/>
        <v>0</v>
      </c>
      <c r="T56" s="127">
        <f t="shared" si="18"/>
        <v>0</v>
      </c>
      <c r="U56" s="127">
        <f t="shared" si="19"/>
        <v>0</v>
      </c>
      <c r="V56" s="127"/>
      <c r="W56" s="127">
        <f t="shared" si="20"/>
        <v>0</v>
      </c>
      <c r="X56" s="127"/>
      <c r="Y56" s="126"/>
      <c r="Z56" s="128"/>
      <c r="AA56" s="128"/>
      <c r="AB56" s="126">
        <v>743000</v>
      </c>
      <c r="AC56" s="126"/>
      <c r="AD56" s="126"/>
    </row>
    <row r="57" spans="1:30" s="8" customFormat="1" x14ac:dyDescent="0.25">
      <c r="A57" s="126">
        <f t="shared" si="10"/>
        <v>51</v>
      </c>
      <c r="B57" s="126">
        <v>1733</v>
      </c>
      <c r="C57" s="126" t="s">
        <v>158</v>
      </c>
      <c r="D57" s="127">
        <v>1255000</v>
      </c>
      <c r="E57" s="127">
        <v>1255000</v>
      </c>
      <c r="F57" s="127">
        <f t="shared" si="11"/>
        <v>0</v>
      </c>
      <c r="G57" s="127">
        <v>1255000</v>
      </c>
      <c r="H57" s="127">
        <v>961774.79</v>
      </c>
      <c r="I57" s="127"/>
      <c r="J57" s="127">
        <v>20671.919999999998</v>
      </c>
      <c r="K57" s="127">
        <f t="shared" si="12"/>
        <v>20671.919999999998</v>
      </c>
      <c r="L57" s="127">
        <f t="shared" si="13"/>
        <v>982446.71000000008</v>
      </c>
      <c r="M57" s="127">
        <f t="shared" si="14"/>
        <v>272553.28999999992</v>
      </c>
      <c r="N57" s="127"/>
      <c r="O57" s="127">
        <f t="shared" si="15"/>
        <v>0</v>
      </c>
      <c r="P57" s="127">
        <f t="shared" si="16"/>
        <v>272553.28999999992</v>
      </c>
      <c r="Q57" s="127"/>
      <c r="R57" s="127"/>
      <c r="S57" s="127">
        <f t="shared" si="17"/>
        <v>0</v>
      </c>
      <c r="T57" s="127">
        <f t="shared" si="18"/>
        <v>0</v>
      </c>
      <c r="U57" s="127">
        <f t="shared" si="19"/>
        <v>0</v>
      </c>
      <c r="V57" s="127"/>
      <c r="W57" s="127">
        <f t="shared" si="20"/>
        <v>0</v>
      </c>
      <c r="X57" s="127"/>
      <c r="Y57" s="126"/>
      <c r="Z57" s="128"/>
      <c r="AA57" s="128"/>
      <c r="AB57" s="126">
        <v>810000</v>
      </c>
      <c r="AC57" s="126"/>
      <c r="AD57" s="126"/>
    </row>
    <row r="58" spans="1:30" s="8" customFormat="1" x14ac:dyDescent="0.25">
      <c r="A58" s="126">
        <f t="shared" si="10"/>
        <v>52</v>
      </c>
      <c r="B58" s="126">
        <v>1767</v>
      </c>
      <c r="C58" s="126" t="s">
        <v>159</v>
      </c>
      <c r="D58" s="127">
        <v>300000</v>
      </c>
      <c r="E58" s="127">
        <v>1300000</v>
      </c>
      <c r="F58" s="127">
        <f t="shared" si="11"/>
        <v>-1000000</v>
      </c>
      <c r="G58" s="127">
        <v>300000</v>
      </c>
      <c r="H58" s="127">
        <v>0</v>
      </c>
      <c r="I58" s="127">
        <v>281241.62</v>
      </c>
      <c r="J58" s="127"/>
      <c r="K58" s="127">
        <f t="shared" si="12"/>
        <v>281241.62</v>
      </c>
      <c r="L58" s="127">
        <f t="shared" si="13"/>
        <v>281241.62</v>
      </c>
      <c r="M58" s="127">
        <f t="shared" si="14"/>
        <v>18758.380000000005</v>
      </c>
      <c r="N58" s="127"/>
      <c r="O58" s="127">
        <f t="shared" si="15"/>
        <v>0</v>
      </c>
      <c r="P58" s="127">
        <f t="shared" si="16"/>
        <v>18758.380000000005</v>
      </c>
      <c r="Q58" s="127"/>
      <c r="R58" s="127"/>
      <c r="S58" s="127">
        <f t="shared" si="17"/>
        <v>0</v>
      </c>
      <c r="T58" s="127">
        <f t="shared" si="18"/>
        <v>0</v>
      </c>
      <c r="U58" s="127">
        <f t="shared" si="19"/>
        <v>0</v>
      </c>
      <c r="V58" s="127"/>
      <c r="W58" s="127">
        <f t="shared" si="20"/>
        <v>0</v>
      </c>
      <c r="X58" s="127"/>
      <c r="Y58" s="127"/>
      <c r="Z58" s="128"/>
      <c r="AA58" s="128"/>
      <c r="AB58" s="126">
        <v>810000</v>
      </c>
      <c r="AC58" s="126"/>
      <c r="AD58" s="126"/>
    </row>
    <row r="59" spans="1:30" s="8" customFormat="1" x14ac:dyDescent="0.25">
      <c r="A59" s="126">
        <f t="shared" si="10"/>
        <v>53</v>
      </c>
      <c r="B59" s="126">
        <v>1768</v>
      </c>
      <c r="C59" s="126" t="s">
        <v>618</v>
      </c>
      <c r="D59" s="127">
        <v>1430000</v>
      </c>
      <c r="E59" s="127">
        <v>1430000</v>
      </c>
      <c r="F59" s="127">
        <f t="shared" si="11"/>
        <v>0</v>
      </c>
      <c r="G59" s="127">
        <v>1430000</v>
      </c>
      <c r="H59" s="127">
        <v>0</v>
      </c>
      <c r="I59" s="127"/>
      <c r="J59" s="127">
        <v>1101700.51</v>
      </c>
      <c r="K59" s="127">
        <f t="shared" si="12"/>
        <v>1101700.51</v>
      </c>
      <c r="L59" s="127">
        <v>4</v>
      </c>
      <c r="M59" s="127">
        <f t="shared" si="14"/>
        <v>1429996</v>
      </c>
      <c r="N59" s="127"/>
      <c r="O59" s="127">
        <f t="shared" si="15"/>
        <v>0</v>
      </c>
      <c r="P59" s="127">
        <f t="shared" si="16"/>
        <v>1429996</v>
      </c>
      <c r="Q59" s="127"/>
      <c r="R59" s="127"/>
      <c r="S59" s="127">
        <f t="shared" si="17"/>
        <v>0</v>
      </c>
      <c r="T59" s="127">
        <f t="shared" si="18"/>
        <v>0</v>
      </c>
      <c r="U59" s="127">
        <f t="shared" si="19"/>
        <v>0</v>
      </c>
      <c r="V59" s="127"/>
      <c r="W59" s="127">
        <f t="shared" si="20"/>
        <v>0</v>
      </c>
      <c r="X59" s="127"/>
      <c r="Y59" s="127"/>
      <c r="Z59" s="128"/>
      <c r="AA59" s="128"/>
      <c r="AB59" s="126">
        <v>810000</v>
      </c>
      <c r="AC59" s="126"/>
      <c r="AD59" s="126"/>
    </row>
    <row r="60" spans="1:30" s="8" customFormat="1" x14ac:dyDescent="0.25">
      <c r="A60" s="126">
        <f t="shared" si="10"/>
        <v>54</v>
      </c>
      <c r="B60" s="126">
        <v>1769</v>
      </c>
      <c r="C60" s="126" t="s">
        <v>160</v>
      </c>
      <c r="D60" s="127">
        <v>5000000</v>
      </c>
      <c r="E60" s="127">
        <v>5000000</v>
      </c>
      <c r="F60" s="127">
        <f t="shared" si="11"/>
        <v>0</v>
      </c>
      <c r="G60" s="127">
        <v>3000000</v>
      </c>
      <c r="H60" s="127">
        <v>1770</v>
      </c>
      <c r="I60" s="127">
        <v>700367.46</v>
      </c>
      <c r="J60" s="127">
        <v>2296540.34</v>
      </c>
      <c r="K60" s="127">
        <f t="shared" si="12"/>
        <v>2996907.8</v>
      </c>
      <c r="L60" s="127">
        <f t="shared" ref="L60:L68" si="21">H60+K60</f>
        <v>2998677.8</v>
      </c>
      <c r="M60" s="127">
        <f t="shared" si="14"/>
        <v>2001322.2000000002</v>
      </c>
      <c r="N60" s="127"/>
      <c r="O60" s="127">
        <f t="shared" si="15"/>
        <v>0</v>
      </c>
      <c r="P60" s="127">
        <f t="shared" si="16"/>
        <v>1322.2000000001863</v>
      </c>
      <c r="Q60" s="127"/>
      <c r="R60" s="127">
        <v>2000000</v>
      </c>
      <c r="S60" s="127">
        <f t="shared" si="17"/>
        <v>2000000</v>
      </c>
      <c r="T60" s="127">
        <f t="shared" si="18"/>
        <v>0</v>
      </c>
      <c r="U60" s="127">
        <f t="shared" si="19"/>
        <v>0</v>
      </c>
      <c r="V60" s="127"/>
      <c r="W60" s="127">
        <f t="shared" si="20"/>
        <v>0</v>
      </c>
      <c r="X60" s="127"/>
      <c r="Y60" s="126"/>
      <c r="Z60" s="128"/>
      <c r="AA60" s="128"/>
      <c r="AB60" s="126">
        <v>810000</v>
      </c>
      <c r="AC60" s="126"/>
      <c r="AD60" s="126"/>
    </row>
    <row r="61" spans="1:30" s="8" customFormat="1" x14ac:dyDescent="0.25">
      <c r="A61" s="126">
        <f t="shared" si="10"/>
        <v>55</v>
      </c>
      <c r="B61" s="126">
        <v>1770</v>
      </c>
      <c r="C61" s="126" t="s">
        <v>161</v>
      </c>
      <c r="D61" s="127">
        <v>28750000</v>
      </c>
      <c r="E61" s="127">
        <v>43000000</v>
      </c>
      <c r="F61" s="127">
        <f t="shared" si="11"/>
        <v>-14250000</v>
      </c>
      <c r="G61" s="127">
        <v>12750000</v>
      </c>
      <c r="H61" s="127">
        <v>311514.34000000003</v>
      </c>
      <c r="I61" s="127">
        <v>1287733.3999999999</v>
      </c>
      <c r="J61" s="127">
        <v>8749373.3300000001</v>
      </c>
      <c r="K61" s="127">
        <f t="shared" si="12"/>
        <v>10037106.73</v>
      </c>
      <c r="L61" s="127">
        <f t="shared" si="21"/>
        <v>10348621.07</v>
      </c>
      <c r="M61" s="127">
        <f t="shared" si="14"/>
        <v>2401378.9299999997</v>
      </c>
      <c r="N61" s="127">
        <f>16000000-2290000</f>
        <v>13710000</v>
      </c>
      <c r="O61" s="127">
        <f t="shared" si="15"/>
        <v>2290000</v>
      </c>
      <c r="P61" s="127">
        <f t="shared" si="16"/>
        <v>2401378.9299999997</v>
      </c>
      <c r="Q61" s="127"/>
      <c r="R61" s="127"/>
      <c r="S61" s="127">
        <f t="shared" si="17"/>
        <v>0</v>
      </c>
      <c r="T61" s="127">
        <f t="shared" si="18"/>
        <v>0</v>
      </c>
      <c r="U61" s="127">
        <f t="shared" si="19"/>
        <v>13710000</v>
      </c>
      <c r="V61" s="127"/>
      <c r="W61" s="127">
        <f t="shared" si="20"/>
        <v>7510000</v>
      </c>
      <c r="X61" s="127"/>
      <c r="Y61" s="127">
        <f>1700000+3200000+1300000</f>
        <v>6200000</v>
      </c>
      <c r="Z61" s="128" t="s">
        <v>605</v>
      </c>
      <c r="AA61" s="128" t="s">
        <v>467</v>
      </c>
      <c r="AB61" s="126">
        <v>810000</v>
      </c>
      <c r="AC61" s="126">
        <v>1</v>
      </c>
      <c r="AD61" s="126"/>
    </row>
    <row r="62" spans="1:30" s="8" customFormat="1" x14ac:dyDescent="0.25">
      <c r="A62" s="126">
        <f t="shared" si="10"/>
        <v>56</v>
      </c>
      <c r="B62" s="126">
        <v>1771</v>
      </c>
      <c r="C62" s="126" t="s">
        <v>346</v>
      </c>
      <c r="D62" s="127">
        <v>3500000</v>
      </c>
      <c r="E62" s="127">
        <v>3500000</v>
      </c>
      <c r="F62" s="127">
        <f t="shared" si="11"/>
        <v>0</v>
      </c>
      <c r="G62" s="127">
        <v>3500000</v>
      </c>
      <c r="H62" s="127">
        <v>37453.550000000003</v>
      </c>
      <c r="I62" s="127">
        <v>211919.38</v>
      </c>
      <c r="J62" s="127">
        <v>3065294</v>
      </c>
      <c r="K62" s="127">
        <f t="shared" si="12"/>
        <v>3277213.38</v>
      </c>
      <c r="L62" s="127">
        <f t="shared" si="21"/>
        <v>3314666.9299999997</v>
      </c>
      <c r="M62" s="127">
        <f t="shared" si="14"/>
        <v>185333.0700000003</v>
      </c>
      <c r="N62" s="127"/>
      <c r="O62" s="127">
        <f t="shared" si="15"/>
        <v>0</v>
      </c>
      <c r="P62" s="127">
        <f t="shared" si="16"/>
        <v>185333.0700000003</v>
      </c>
      <c r="Q62" s="127"/>
      <c r="R62" s="127"/>
      <c r="S62" s="127">
        <f t="shared" si="17"/>
        <v>0</v>
      </c>
      <c r="T62" s="127">
        <f t="shared" si="18"/>
        <v>0</v>
      </c>
      <c r="U62" s="127">
        <f t="shared" si="19"/>
        <v>0</v>
      </c>
      <c r="V62" s="127"/>
      <c r="W62" s="127">
        <f t="shared" si="20"/>
        <v>0</v>
      </c>
      <c r="X62" s="127"/>
      <c r="Y62" s="126"/>
      <c r="Z62" s="128"/>
      <c r="AA62" s="128"/>
      <c r="AB62" s="126">
        <v>810000</v>
      </c>
      <c r="AC62" s="126"/>
      <c r="AD62" s="126"/>
    </row>
    <row r="63" spans="1:30" s="8" customFormat="1" ht="15.75" customHeight="1" x14ac:dyDescent="0.25">
      <c r="A63" s="126">
        <f t="shared" si="10"/>
        <v>57</v>
      </c>
      <c r="B63" s="126">
        <v>1772</v>
      </c>
      <c r="C63" s="126" t="s">
        <v>570</v>
      </c>
      <c r="D63" s="127">
        <v>3210000</v>
      </c>
      <c r="E63" s="127">
        <v>3210000</v>
      </c>
      <c r="F63" s="127">
        <f t="shared" si="11"/>
        <v>0</v>
      </c>
      <c r="G63" s="127">
        <v>400000</v>
      </c>
      <c r="H63" s="127">
        <v>0</v>
      </c>
      <c r="I63" s="127">
        <v>256135.52</v>
      </c>
      <c r="J63" s="127"/>
      <c r="K63" s="127">
        <f t="shared" si="12"/>
        <v>256135.52</v>
      </c>
      <c r="L63" s="127">
        <f t="shared" si="21"/>
        <v>256135.52</v>
      </c>
      <c r="M63" s="127">
        <f t="shared" si="14"/>
        <v>143864.48000000001</v>
      </c>
      <c r="N63" s="127">
        <v>1400000</v>
      </c>
      <c r="O63" s="127">
        <f t="shared" si="15"/>
        <v>1410000</v>
      </c>
      <c r="P63" s="127">
        <f t="shared" si="16"/>
        <v>143864.48000000001</v>
      </c>
      <c r="Q63" s="127"/>
      <c r="R63" s="127"/>
      <c r="S63" s="127">
        <f t="shared" si="17"/>
        <v>0</v>
      </c>
      <c r="T63" s="127">
        <f t="shared" si="18"/>
        <v>0</v>
      </c>
      <c r="U63" s="127">
        <f t="shared" si="19"/>
        <v>1400000</v>
      </c>
      <c r="V63" s="127">
        <v>1400000</v>
      </c>
      <c r="W63" s="127">
        <f t="shared" si="20"/>
        <v>0</v>
      </c>
      <c r="X63" s="127"/>
      <c r="Y63" s="126"/>
      <c r="Z63" s="128" t="s">
        <v>162</v>
      </c>
      <c r="AA63" s="134"/>
      <c r="AB63" s="126">
        <v>829000</v>
      </c>
      <c r="AC63" s="126">
        <v>1</v>
      </c>
      <c r="AD63" s="126"/>
    </row>
    <row r="64" spans="1:30" s="8" customFormat="1" x14ac:dyDescent="0.25">
      <c r="A64" s="126">
        <f t="shared" si="10"/>
        <v>58</v>
      </c>
      <c r="B64" s="126">
        <v>1773</v>
      </c>
      <c r="C64" s="126" t="s">
        <v>331</v>
      </c>
      <c r="D64" s="127">
        <v>1000000</v>
      </c>
      <c r="E64" s="127">
        <v>1000000</v>
      </c>
      <c r="F64" s="127">
        <f t="shared" si="11"/>
        <v>0</v>
      </c>
      <c r="G64" s="127">
        <v>500000</v>
      </c>
      <c r="H64" s="127">
        <v>0</v>
      </c>
      <c r="I64" s="127"/>
      <c r="J64" s="127"/>
      <c r="K64" s="127">
        <f t="shared" si="12"/>
        <v>0</v>
      </c>
      <c r="L64" s="127">
        <f t="shared" si="21"/>
        <v>0</v>
      </c>
      <c r="M64" s="127">
        <f t="shared" si="14"/>
        <v>500000</v>
      </c>
      <c r="N64" s="127"/>
      <c r="O64" s="127">
        <f t="shared" si="15"/>
        <v>500000</v>
      </c>
      <c r="P64" s="127">
        <f t="shared" si="16"/>
        <v>500000</v>
      </c>
      <c r="Q64" s="127"/>
      <c r="R64" s="127"/>
      <c r="S64" s="127">
        <f t="shared" si="17"/>
        <v>0</v>
      </c>
      <c r="T64" s="127">
        <f t="shared" si="18"/>
        <v>0</v>
      </c>
      <c r="U64" s="127">
        <f t="shared" si="19"/>
        <v>0</v>
      </c>
      <c r="V64" s="127"/>
      <c r="W64" s="127">
        <f t="shared" si="20"/>
        <v>0</v>
      </c>
      <c r="X64" s="127"/>
      <c r="Y64" s="126"/>
      <c r="Z64" s="128" t="s">
        <v>468</v>
      </c>
      <c r="AA64" s="134"/>
      <c r="AB64" s="126">
        <v>746000</v>
      </c>
      <c r="AC64" s="6">
        <v>1</v>
      </c>
      <c r="AD64" s="6"/>
    </row>
    <row r="65" spans="1:52" s="8" customFormat="1" x14ac:dyDescent="0.25">
      <c r="A65" s="126">
        <f t="shared" si="10"/>
        <v>59</v>
      </c>
      <c r="B65" s="126">
        <v>1794</v>
      </c>
      <c r="C65" s="126" t="s">
        <v>371</v>
      </c>
      <c r="D65" s="127">
        <v>380000</v>
      </c>
      <c r="E65" s="127">
        <v>380000</v>
      </c>
      <c r="F65" s="127">
        <f t="shared" si="11"/>
        <v>0</v>
      </c>
      <c r="G65" s="127">
        <v>380000</v>
      </c>
      <c r="H65" s="127">
        <v>0</v>
      </c>
      <c r="I65" s="127"/>
      <c r="J65" s="127"/>
      <c r="K65" s="127">
        <f t="shared" si="12"/>
        <v>0</v>
      </c>
      <c r="L65" s="127">
        <f t="shared" si="21"/>
        <v>0</v>
      </c>
      <c r="M65" s="127">
        <f t="shared" si="14"/>
        <v>380000</v>
      </c>
      <c r="N65" s="127"/>
      <c r="O65" s="127">
        <f t="shared" si="15"/>
        <v>0</v>
      </c>
      <c r="P65" s="127">
        <f t="shared" si="16"/>
        <v>380000</v>
      </c>
      <c r="Q65" s="127"/>
      <c r="R65" s="127"/>
      <c r="S65" s="127">
        <f t="shared" si="17"/>
        <v>0</v>
      </c>
      <c r="T65" s="127">
        <f t="shared" si="18"/>
        <v>0</v>
      </c>
      <c r="U65" s="127">
        <f t="shared" si="19"/>
        <v>0</v>
      </c>
      <c r="V65" s="127"/>
      <c r="W65" s="127">
        <f t="shared" si="20"/>
        <v>0</v>
      </c>
      <c r="X65" s="127"/>
      <c r="Y65" s="127"/>
      <c r="Z65" s="128"/>
      <c r="AA65" s="128"/>
      <c r="AB65" s="126">
        <v>850000</v>
      </c>
      <c r="AC65" s="6"/>
      <c r="AD65" s="6"/>
    </row>
    <row r="66" spans="1:52" s="8" customFormat="1" x14ac:dyDescent="0.25">
      <c r="A66" s="126">
        <f t="shared" si="10"/>
        <v>60</v>
      </c>
      <c r="B66" s="126">
        <v>1795</v>
      </c>
      <c r="C66" s="126" t="s">
        <v>372</v>
      </c>
      <c r="D66" s="127">
        <v>1268000</v>
      </c>
      <c r="E66" s="127">
        <v>1268000</v>
      </c>
      <c r="F66" s="127">
        <f t="shared" si="11"/>
        <v>0</v>
      </c>
      <c r="G66" s="127">
        <v>200000</v>
      </c>
      <c r="H66" s="127">
        <v>0</v>
      </c>
      <c r="I66" s="127"/>
      <c r="J66" s="127"/>
      <c r="K66" s="127">
        <f t="shared" si="12"/>
        <v>0</v>
      </c>
      <c r="L66" s="127">
        <f t="shared" si="21"/>
        <v>0</v>
      </c>
      <c r="M66" s="127">
        <f t="shared" si="14"/>
        <v>200000</v>
      </c>
      <c r="N66" s="127">
        <v>1068000</v>
      </c>
      <c r="O66" s="127">
        <f t="shared" si="15"/>
        <v>0</v>
      </c>
      <c r="P66" s="127">
        <f t="shared" si="16"/>
        <v>200000</v>
      </c>
      <c r="Q66" s="127"/>
      <c r="R66" s="127"/>
      <c r="S66" s="127">
        <f t="shared" si="17"/>
        <v>0</v>
      </c>
      <c r="T66" s="127">
        <f t="shared" si="18"/>
        <v>0</v>
      </c>
      <c r="U66" s="127">
        <f t="shared" si="19"/>
        <v>1068000</v>
      </c>
      <c r="V66" s="127"/>
      <c r="W66" s="127">
        <f t="shared" si="20"/>
        <v>818000</v>
      </c>
      <c r="X66" s="127"/>
      <c r="Y66" s="127">
        <v>250000</v>
      </c>
      <c r="Z66" s="128" t="s">
        <v>469</v>
      </c>
      <c r="AA66" s="128"/>
      <c r="AB66" s="126">
        <v>870000</v>
      </c>
      <c r="AC66" s="6">
        <v>1</v>
      </c>
      <c r="AD66" s="6"/>
    </row>
    <row r="67" spans="1:52" s="8" customFormat="1" x14ac:dyDescent="0.25">
      <c r="A67" s="126">
        <f t="shared" si="10"/>
        <v>61</v>
      </c>
      <c r="B67" s="126">
        <v>1800</v>
      </c>
      <c r="C67" s="126" t="s">
        <v>373</v>
      </c>
      <c r="D67" s="127">
        <f>1500000-900000</f>
        <v>600000</v>
      </c>
      <c r="E67" s="127">
        <v>1500000</v>
      </c>
      <c r="F67" s="127">
        <f t="shared" si="11"/>
        <v>-900000</v>
      </c>
      <c r="G67" s="127">
        <v>600000</v>
      </c>
      <c r="H67" s="127">
        <v>197286</v>
      </c>
      <c r="I67" s="127">
        <v>229612.02</v>
      </c>
      <c r="J67" s="127"/>
      <c r="K67" s="127">
        <f t="shared" si="12"/>
        <v>229612.02</v>
      </c>
      <c r="L67" s="127">
        <f t="shared" si="21"/>
        <v>426898.02</v>
      </c>
      <c r="M67" s="127">
        <f t="shared" si="14"/>
        <v>173101.97999999998</v>
      </c>
      <c r="N67" s="127"/>
      <c r="O67" s="127">
        <f t="shared" si="15"/>
        <v>0</v>
      </c>
      <c r="P67" s="127">
        <f t="shared" si="16"/>
        <v>173101.97999999998</v>
      </c>
      <c r="Q67" s="127"/>
      <c r="R67" s="127"/>
      <c r="S67" s="127">
        <f t="shared" si="17"/>
        <v>0</v>
      </c>
      <c r="T67" s="127">
        <f t="shared" si="18"/>
        <v>0</v>
      </c>
      <c r="U67" s="127">
        <f t="shared" si="19"/>
        <v>0</v>
      </c>
      <c r="V67" s="127"/>
      <c r="W67" s="127">
        <f t="shared" si="20"/>
        <v>0</v>
      </c>
      <c r="X67" s="127"/>
      <c r="Y67" s="126"/>
      <c r="Z67" s="128"/>
      <c r="AA67" s="134"/>
      <c r="AB67" s="126">
        <v>930000</v>
      </c>
      <c r="AC67" s="6"/>
      <c r="AD67" s="6"/>
    </row>
    <row r="68" spans="1:52" s="8" customFormat="1" x14ac:dyDescent="0.25">
      <c r="A68" s="126">
        <f t="shared" si="10"/>
        <v>62</v>
      </c>
      <c r="B68" s="126">
        <v>1821</v>
      </c>
      <c r="C68" s="126" t="s">
        <v>598</v>
      </c>
      <c r="D68" s="127">
        <v>170000</v>
      </c>
      <c r="E68" s="127">
        <v>170000</v>
      </c>
      <c r="F68" s="127">
        <f t="shared" si="11"/>
        <v>0</v>
      </c>
      <c r="G68" s="127">
        <v>170000</v>
      </c>
      <c r="H68" s="127">
        <v>0</v>
      </c>
      <c r="I68" s="127"/>
      <c r="J68" s="127"/>
      <c r="K68" s="127">
        <f t="shared" si="12"/>
        <v>0</v>
      </c>
      <c r="L68" s="127">
        <f t="shared" si="21"/>
        <v>0</v>
      </c>
      <c r="M68" s="127">
        <f t="shared" si="14"/>
        <v>170000</v>
      </c>
      <c r="N68" s="127"/>
      <c r="O68" s="127">
        <f t="shared" si="15"/>
        <v>0</v>
      </c>
      <c r="P68" s="127">
        <f t="shared" si="16"/>
        <v>170000</v>
      </c>
      <c r="Q68" s="127"/>
      <c r="R68" s="127"/>
      <c r="S68" s="127">
        <f t="shared" si="17"/>
        <v>0</v>
      </c>
      <c r="T68" s="127">
        <f t="shared" si="18"/>
        <v>0</v>
      </c>
      <c r="U68" s="127">
        <f t="shared" si="19"/>
        <v>0</v>
      </c>
      <c r="V68" s="127"/>
      <c r="W68" s="127">
        <f t="shared" si="20"/>
        <v>0</v>
      </c>
      <c r="X68" s="127"/>
      <c r="Y68" s="127"/>
      <c r="Z68" s="128"/>
      <c r="AA68" s="128"/>
      <c r="AB68" s="126">
        <v>810000</v>
      </c>
      <c r="AC68" s="6">
        <v>1</v>
      </c>
      <c r="AD68" s="6"/>
    </row>
    <row r="69" spans="1:52" s="8" customFormat="1" ht="15.6" x14ac:dyDescent="0.3">
      <c r="A69" s="126">
        <f t="shared" si="10"/>
        <v>63</v>
      </c>
      <c r="B69" s="126">
        <v>1847</v>
      </c>
      <c r="C69" s="126" t="s">
        <v>606</v>
      </c>
      <c r="D69" s="127">
        <v>7200000</v>
      </c>
      <c r="E69" s="127"/>
      <c r="F69" s="127">
        <f t="shared" si="11"/>
        <v>7200000</v>
      </c>
      <c r="G69" s="127"/>
      <c r="H69" s="127"/>
      <c r="I69" s="127"/>
      <c r="J69" s="127"/>
      <c r="K69" s="127"/>
      <c r="L69" s="127"/>
      <c r="M69" s="127"/>
      <c r="N69" s="127">
        <v>3600000</v>
      </c>
      <c r="O69" s="127">
        <f t="shared" si="15"/>
        <v>3600000</v>
      </c>
      <c r="P69" s="127"/>
      <c r="Q69" s="127"/>
      <c r="R69" s="127"/>
      <c r="S69" s="127"/>
      <c r="T69" s="127"/>
      <c r="U69" s="127">
        <f t="shared" si="19"/>
        <v>3600000</v>
      </c>
      <c r="V69" s="127">
        <v>3600000</v>
      </c>
      <c r="W69" s="127">
        <f t="shared" si="20"/>
        <v>0</v>
      </c>
      <c r="X69" s="127"/>
      <c r="Y69" s="126"/>
      <c r="Z69" s="128" t="s">
        <v>471</v>
      </c>
      <c r="AA69" s="128"/>
      <c r="AB69" s="226">
        <v>810000</v>
      </c>
      <c r="AC69" s="6">
        <v>1</v>
      </c>
      <c r="AD69" s="6"/>
    </row>
    <row r="70" spans="1:52" s="8" customFormat="1" ht="15.6" x14ac:dyDescent="0.3">
      <c r="A70" s="126">
        <f t="shared" si="10"/>
        <v>64</v>
      </c>
      <c r="B70" s="126">
        <v>1848</v>
      </c>
      <c r="C70" s="126" t="s">
        <v>473</v>
      </c>
      <c r="D70" s="127">
        <f>700000-200000</f>
        <v>500000</v>
      </c>
      <c r="E70" s="127"/>
      <c r="F70" s="127">
        <f t="shared" si="11"/>
        <v>500000</v>
      </c>
      <c r="G70" s="127"/>
      <c r="H70" s="127"/>
      <c r="I70" s="127"/>
      <c r="J70" s="127"/>
      <c r="K70" s="127"/>
      <c r="L70" s="127"/>
      <c r="M70" s="127"/>
      <c r="N70" s="127">
        <f>700000-200000</f>
        <v>500000</v>
      </c>
      <c r="O70" s="127">
        <f t="shared" si="15"/>
        <v>0</v>
      </c>
      <c r="P70" s="127"/>
      <c r="Q70" s="127"/>
      <c r="R70" s="127"/>
      <c r="S70" s="127"/>
      <c r="T70" s="127"/>
      <c r="U70" s="127">
        <f t="shared" si="19"/>
        <v>500000</v>
      </c>
      <c r="V70" s="127"/>
      <c r="W70" s="127">
        <f t="shared" si="20"/>
        <v>500000</v>
      </c>
      <c r="X70" s="127"/>
      <c r="Y70" s="126"/>
      <c r="Z70" s="128" t="s">
        <v>474</v>
      </c>
      <c r="AA70" s="128"/>
      <c r="AB70" s="226">
        <v>742000</v>
      </c>
      <c r="AC70" s="6">
        <v>1</v>
      </c>
      <c r="AD70" s="6"/>
    </row>
    <row r="71" spans="1:52" s="8" customFormat="1" ht="15.6" x14ac:dyDescent="0.3">
      <c r="A71" s="126">
        <f t="shared" si="10"/>
        <v>65</v>
      </c>
      <c r="B71" s="126">
        <v>1849</v>
      </c>
      <c r="C71" s="126" t="s">
        <v>477</v>
      </c>
      <c r="D71" s="127">
        <v>1400000</v>
      </c>
      <c r="E71" s="127"/>
      <c r="F71" s="127">
        <f t="shared" ref="F71:F74" si="22">D71-E71</f>
        <v>1400000</v>
      </c>
      <c r="G71" s="127"/>
      <c r="H71" s="127"/>
      <c r="I71" s="127"/>
      <c r="J71" s="127"/>
      <c r="K71" s="127"/>
      <c r="L71" s="127"/>
      <c r="M71" s="127"/>
      <c r="N71" s="127">
        <f>1400000-400000-500000</f>
        <v>500000</v>
      </c>
      <c r="O71" s="127">
        <f t="shared" ref="O71:O78" si="23">D71-L71-M71-N71</f>
        <v>900000</v>
      </c>
      <c r="P71" s="127"/>
      <c r="Q71" s="127"/>
      <c r="R71" s="127"/>
      <c r="S71" s="127"/>
      <c r="T71" s="127"/>
      <c r="U71" s="127">
        <f t="shared" ref="U71:U78" si="24">N71-T71</f>
        <v>500000</v>
      </c>
      <c r="V71" s="127"/>
      <c r="W71" s="127">
        <f t="shared" ref="W71:W78" si="25">U71-V71-X71-Y71</f>
        <v>500000</v>
      </c>
      <c r="X71" s="127"/>
      <c r="Y71" s="126"/>
      <c r="Z71" s="128" t="s">
        <v>478</v>
      </c>
      <c r="AA71" s="71"/>
      <c r="AB71" s="226">
        <v>743000</v>
      </c>
      <c r="AC71" s="6">
        <v>1</v>
      </c>
      <c r="AD71" s="6"/>
    </row>
    <row r="72" spans="1:52" s="8" customFormat="1" ht="15.6" x14ac:dyDescent="0.3">
      <c r="A72" s="126">
        <f t="shared" si="10"/>
        <v>66</v>
      </c>
      <c r="B72" s="126">
        <v>1850</v>
      </c>
      <c r="C72" s="126" t="s">
        <v>479</v>
      </c>
      <c r="D72" s="127">
        <v>14600000</v>
      </c>
      <c r="E72" s="127"/>
      <c r="F72" s="127">
        <f t="shared" si="22"/>
        <v>14600000</v>
      </c>
      <c r="G72" s="127"/>
      <c r="H72" s="127"/>
      <c r="I72" s="127"/>
      <c r="J72" s="127"/>
      <c r="K72" s="127"/>
      <c r="L72" s="127"/>
      <c r="M72" s="127"/>
      <c r="N72" s="127">
        <f>14600000-13600000-700000</f>
        <v>300000</v>
      </c>
      <c r="O72" s="127">
        <f t="shared" si="23"/>
        <v>14300000</v>
      </c>
      <c r="P72" s="127"/>
      <c r="Q72" s="127"/>
      <c r="R72" s="127"/>
      <c r="S72" s="127"/>
      <c r="T72" s="127"/>
      <c r="U72" s="127">
        <f t="shared" si="24"/>
        <v>300000</v>
      </c>
      <c r="V72" s="127"/>
      <c r="W72" s="127">
        <f t="shared" si="25"/>
        <v>300000</v>
      </c>
      <c r="X72" s="127"/>
      <c r="Y72" s="126"/>
      <c r="Z72" s="128" t="s">
        <v>480</v>
      </c>
      <c r="AA72" s="128"/>
      <c r="AB72" s="226">
        <v>720000</v>
      </c>
      <c r="AC72" s="126">
        <v>1</v>
      </c>
      <c r="AD72" s="126"/>
    </row>
    <row r="73" spans="1:52" s="8" customFormat="1" ht="15.6" x14ac:dyDescent="0.3">
      <c r="A73" s="126">
        <f t="shared" si="10"/>
        <v>67</v>
      </c>
      <c r="B73" s="126">
        <v>1851</v>
      </c>
      <c r="C73" s="126" t="s">
        <v>486</v>
      </c>
      <c r="D73" s="127">
        <f>2300000+700000</f>
        <v>3000000</v>
      </c>
      <c r="E73" s="127"/>
      <c r="F73" s="127">
        <f t="shared" si="22"/>
        <v>3000000</v>
      </c>
      <c r="G73" s="127"/>
      <c r="H73" s="127"/>
      <c r="I73" s="127"/>
      <c r="J73" s="127"/>
      <c r="K73" s="127"/>
      <c r="L73" s="127"/>
      <c r="M73" s="127"/>
      <c r="N73" s="127">
        <f>3000000-1000000</f>
        <v>2000000</v>
      </c>
      <c r="O73" s="127">
        <f t="shared" si="23"/>
        <v>1000000</v>
      </c>
      <c r="P73" s="127"/>
      <c r="Q73" s="127"/>
      <c r="R73" s="127"/>
      <c r="S73" s="127"/>
      <c r="T73" s="127"/>
      <c r="U73" s="127">
        <f t="shared" si="24"/>
        <v>2000000</v>
      </c>
      <c r="V73" s="127"/>
      <c r="W73" s="127">
        <f t="shared" si="25"/>
        <v>2000000</v>
      </c>
      <c r="X73" s="127"/>
      <c r="Y73" s="126"/>
      <c r="Z73" s="128"/>
      <c r="AA73" s="128"/>
      <c r="AB73" s="226">
        <v>810000</v>
      </c>
      <c r="AC73" s="6">
        <v>2</v>
      </c>
      <c r="AD73" s="6"/>
    </row>
    <row r="74" spans="1:52" s="8" customFormat="1" ht="15.6" x14ac:dyDescent="0.3">
      <c r="A74" s="126">
        <f t="shared" si="10"/>
        <v>68</v>
      </c>
      <c r="B74" s="126">
        <v>1852</v>
      </c>
      <c r="C74" s="126" t="s">
        <v>599</v>
      </c>
      <c r="D74" s="127">
        <f>250000+250000</f>
        <v>500000</v>
      </c>
      <c r="E74" s="127"/>
      <c r="F74" s="127">
        <f t="shared" si="22"/>
        <v>500000</v>
      </c>
      <c r="G74" s="127"/>
      <c r="H74" s="127"/>
      <c r="I74" s="127"/>
      <c r="J74" s="127"/>
      <c r="K74" s="127"/>
      <c r="L74" s="127"/>
      <c r="M74" s="127"/>
      <c r="N74" s="127">
        <f>250000+250000</f>
        <v>500000</v>
      </c>
      <c r="O74" s="127">
        <f t="shared" si="23"/>
        <v>0</v>
      </c>
      <c r="P74" s="127"/>
      <c r="Q74" s="127"/>
      <c r="R74" s="127"/>
      <c r="S74" s="127"/>
      <c r="T74" s="127"/>
      <c r="U74" s="127">
        <f t="shared" si="24"/>
        <v>500000</v>
      </c>
      <c r="V74" s="127"/>
      <c r="W74" s="127">
        <f t="shared" si="25"/>
        <v>250000</v>
      </c>
      <c r="X74" s="127"/>
      <c r="Y74" s="127">
        <v>250000</v>
      </c>
      <c r="Z74" s="128"/>
      <c r="AA74" s="128"/>
      <c r="AB74" s="226">
        <v>930000</v>
      </c>
      <c r="AC74" s="6">
        <v>2</v>
      </c>
      <c r="AD74" s="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1:52" s="8" customFormat="1" ht="15.6" x14ac:dyDescent="0.3">
      <c r="A75" s="126">
        <f t="shared" si="10"/>
        <v>69</v>
      </c>
      <c r="B75" s="126">
        <v>1853</v>
      </c>
      <c r="C75" s="126" t="s">
        <v>496</v>
      </c>
      <c r="D75" s="127">
        <f>(160+50+100)*1000</f>
        <v>310000</v>
      </c>
      <c r="E75" s="127"/>
      <c r="F75" s="135">
        <v>310000</v>
      </c>
      <c r="G75" s="127"/>
      <c r="H75" s="127"/>
      <c r="I75" s="127"/>
      <c r="J75" s="127"/>
      <c r="K75" s="127"/>
      <c r="L75" s="127"/>
      <c r="M75" s="127"/>
      <c r="N75" s="127">
        <v>310000</v>
      </c>
      <c r="O75" s="127">
        <f t="shared" si="23"/>
        <v>0</v>
      </c>
      <c r="P75" s="127"/>
      <c r="Q75" s="127"/>
      <c r="R75" s="127"/>
      <c r="S75" s="127"/>
      <c r="T75" s="127"/>
      <c r="U75" s="127">
        <f t="shared" si="24"/>
        <v>310000</v>
      </c>
      <c r="V75" s="127"/>
      <c r="W75" s="127">
        <f t="shared" si="25"/>
        <v>310000</v>
      </c>
      <c r="X75" s="127"/>
      <c r="Y75" s="126"/>
      <c r="Z75" s="128" t="s">
        <v>497</v>
      </c>
      <c r="AA75" s="128"/>
      <c r="AB75" s="226">
        <v>824000</v>
      </c>
      <c r="AC75" s="126"/>
      <c r="AD75" s="126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</row>
    <row r="76" spans="1:52" s="8" customFormat="1" ht="15.6" x14ac:dyDescent="0.3">
      <c r="A76" s="126">
        <f t="shared" ref="A76:A78" si="26">1+A75</f>
        <v>70</v>
      </c>
      <c r="B76" s="126">
        <v>1854</v>
      </c>
      <c r="C76" s="126" t="s">
        <v>626</v>
      </c>
      <c r="D76" s="127">
        <f>8000000-5000000+5000000</f>
        <v>8000000</v>
      </c>
      <c r="E76" s="127"/>
      <c r="F76" s="127">
        <f>D76-E76</f>
        <v>8000000</v>
      </c>
      <c r="G76" s="127"/>
      <c r="H76" s="127"/>
      <c r="I76" s="127"/>
      <c r="J76" s="127"/>
      <c r="K76" s="127"/>
      <c r="L76" s="127"/>
      <c r="M76" s="127"/>
      <c r="N76" s="127">
        <v>8000000</v>
      </c>
      <c r="O76" s="127">
        <f t="shared" si="23"/>
        <v>0</v>
      </c>
      <c r="P76" s="127"/>
      <c r="Q76" s="127"/>
      <c r="R76" s="127"/>
      <c r="S76" s="127"/>
      <c r="T76" s="127"/>
      <c r="U76" s="127">
        <f t="shared" si="24"/>
        <v>8000000</v>
      </c>
      <c r="V76" s="127">
        <v>2500000</v>
      </c>
      <c r="W76" s="127">
        <f t="shared" si="25"/>
        <v>0</v>
      </c>
      <c r="X76" s="127"/>
      <c r="Y76" s="127">
        <f>3400000+2100000</f>
        <v>5500000</v>
      </c>
      <c r="Z76" s="128"/>
      <c r="AA76" s="128" t="s">
        <v>470</v>
      </c>
      <c r="AB76" s="226">
        <v>810000</v>
      </c>
      <c r="AC76" s="6">
        <v>1</v>
      </c>
      <c r="AD76" s="6"/>
    </row>
    <row r="77" spans="1:52" s="8" customFormat="1" ht="15.6" x14ac:dyDescent="0.3">
      <c r="A77" s="126">
        <f t="shared" si="26"/>
        <v>71</v>
      </c>
      <c r="B77" s="126">
        <v>1855</v>
      </c>
      <c r="C77" s="126" t="s">
        <v>472</v>
      </c>
      <c r="D77" s="127">
        <v>600000</v>
      </c>
      <c r="E77" s="127"/>
      <c r="F77" s="127">
        <f>D77-E77</f>
        <v>600000</v>
      </c>
      <c r="G77" s="127"/>
      <c r="H77" s="127"/>
      <c r="I77" s="127"/>
      <c r="J77" s="127"/>
      <c r="K77" s="127"/>
      <c r="L77" s="127"/>
      <c r="M77" s="127"/>
      <c r="N77" s="127">
        <f>600000-100000-100000</f>
        <v>400000</v>
      </c>
      <c r="O77" s="127">
        <f t="shared" si="23"/>
        <v>200000</v>
      </c>
      <c r="P77" s="127"/>
      <c r="Q77" s="127"/>
      <c r="R77" s="127"/>
      <c r="S77" s="127"/>
      <c r="T77" s="127"/>
      <c r="U77" s="127">
        <f t="shared" si="24"/>
        <v>400000</v>
      </c>
      <c r="V77" s="127"/>
      <c r="W77" s="127">
        <f t="shared" si="25"/>
        <v>400000</v>
      </c>
      <c r="X77" s="127"/>
      <c r="Y77" s="126"/>
      <c r="Z77" s="128"/>
      <c r="AA77" s="128"/>
      <c r="AB77" s="226">
        <v>810000</v>
      </c>
      <c r="AC77" s="6">
        <v>1</v>
      </c>
      <c r="AD77" s="6"/>
    </row>
    <row r="78" spans="1:52" s="8" customFormat="1" ht="15.6" x14ac:dyDescent="0.3">
      <c r="A78" s="126">
        <f t="shared" si="26"/>
        <v>72</v>
      </c>
      <c r="B78" s="126">
        <v>1856</v>
      </c>
      <c r="C78" s="126" t="s">
        <v>475</v>
      </c>
      <c r="D78" s="127">
        <v>300000</v>
      </c>
      <c r="E78" s="127"/>
      <c r="F78" s="127">
        <f>D78-E78</f>
        <v>300000</v>
      </c>
      <c r="G78" s="127"/>
      <c r="H78" s="127"/>
      <c r="I78" s="127"/>
      <c r="J78" s="127"/>
      <c r="K78" s="127"/>
      <c r="L78" s="127"/>
      <c r="M78" s="127"/>
      <c r="N78" s="127">
        <f>300000-100000</f>
        <v>200000</v>
      </c>
      <c r="O78" s="127">
        <f t="shared" si="23"/>
        <v>100000</v>
      </c>
      <c r="P78" s="127"/>
      <c r="Q78" s="127"/>
      <c r="R78" s="127"/>
      <c r="S78" s="127"/>
      <c r="T78" s="127"/>
      <c r="U78" s="127">
        <f t="shared" si="24"/>
        <v>200000</v>
      </c>
      <c r="V78" s="127"/>
      <c r="W78" s="127">
        <f t="shared" si="25"/>
        <v>200000</v>
      </c>
      <c r="X78" s="127"/>
      <c r="Y78" s="126"/>
      <c r="Z78" s="128" t="s">
        <v>476</v>
      </c>
      <c r="AA78" s="71"/>
      <c r="AB78" s="226">
        <v>810000</v>
      </c>
      <c r="AC78" s="6">
        <v>1</v>
      </c>
      <c r="AD78" s="6"/>
    </row>
    <row r="79" spans="1:52" s="9" customFormat="1" x14ac:dyDescent="0.25">
      <c r="A79" s="129">
        <f>A78</f>
        <v>72</v>
      </c>
      <c r="B79" s="129"/>
      <c r="C79" s="129" t="s">
        <v>608</v>
      </c>
      <c r="D79" s="130">
        <f t="shared" ref="D79:AA79" si="27">SUM(D7:D78)</f>
        <v>562065840</v>
      </c>
      <c r="E79" s="130">
        <f t="shared" si="27"/>
        <v>511553840</v>
      </c>
      <c r="F79" s="130">
        <f t="shared" si="27"/>
        <v>50512000</v>
      </c>
      <c r="G79" s="130">
        <f t="shared" si="27"/>
        <v>397385840</v>
      </c>
      <c r="H79" s="130">
        <f t="shared" si="27"/>
        <v>345381160.25</v>
      </c>
      <c r="I79" s="130">
        <f t="shared" si="27"/>
        <v>13690955.32</v>
      </c>
      <c r="J79" s="130">
        <f t="shared" si="27"/>
        <v>23830760.68</v>
      </c>
      <c r="K79" s="130">
        <f t="shared" si="27"/>
        <v>37521716.000000015</v>
      </c>
      <c r="L79" s="130">
        <f t="shared" si="27"/>
        <v>381801179.74000019</v>
      </c>
      <c r="M79" s="130">
        <f t="shared" si="27"/>
        <v>21164660.260000002</v>
      </c>
      <c r="N79" s="130">
        <f t="shared" si="27"/>
        <v>42673000</v>
      </c>
      <c r="O79" s="130">
        <f t="shared" si="27"/>
        <v>116427000</v>
      </c>
      <c r="P79" s="130">
        <f t="shared" si="27"/>
        <v>15584660.260000002</v>
      </c>
      <c r="Q79" s="130">
        <f t="shared" si="27"/>
        <v>550000</v>
      </c>
      <c r="R79" s="130">
        <f t="shared" si="27"/>
        <v>5030000</v>
      </c>
      <c r="S79" s="130">
        <f t="shared" si="27"/>
        <v>5580000</v>
      </c>
      <c r="T79" s="130">
        <f t="shared" si="27"/>
        <v>0</v>
      </c>
      <c r="U79" s="130">
        <f t="shared" si="27"/>
        <v>42673000</v>
      </c>
      <c r="V79" s="130">
        <f t="shared" si="27"/>
        <v>11130000</v>
      </c>
      <c r="W79" s="130">
        <f t="shared" si="27"/>
        <v>19343000</v>
      </c>
      <c r="X79" s="130">
        <f t="shared" si="27"/>
        <v>0</v>
      </c>
      <c r="Y79" s="130">
        <f t="shared" si="27"/>
        <v>12200000</v>
      </c>
      <c r="Z79" s="246">
        <f t="shared" si="27"/>
        <v>0</v>
      </c>
      <c r="AA79" s="248">
        <f t="shared" si="27"/>
        <v>0</v>
      </c>
      <c r="AB79" s="94"/>
      <c r="AC79" s="94"/>
      <c r="AD79" s="94">
        <f>SUM(AD7:AD78)</f>
        <v>0</v>
      </c>
    </row>
    <row r="80" spans="1:52" s="9" customFormat="1" x14ac:dyDescent="0.25">
      <c r="A80" s="129"/>
      <c r="B80" s="129"/>
      <c r="C80" s="129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246"/>
      <c r="AA80" s="248"/>
      <c r="AB80" s="94"/>
      <c r="AC80" s="94"/>
      <c r="AD80" s="94"/>
    </row>
    <row r="81" spans="1:52" s="9" customFormat="1" x14ac:dyDescent="0.25">
      <c r="A81" s="129"/>
      <c r="B81" s="129"/>
      <c r="C81" s="129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4"/>
      <c r="AA81" s="249"/>
      <c r="AB81" s="22"/>
      <c r="AC81" s="94"/>
      <c r="AD81" s="94"/>
      <c r="AE81" s="136"/>
      <c r="AF81" s="136"/>
    </row>
    <row r="82" spans="1:52" s="9" customFormat="1" x14ac:dyDescent="0.25">
      <c r="A82" s="129"/>
      <c r="B82" s="129"/>
      <c r="C82" s="129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246"/>
      <c r="AA82" s="248"/>
      <c r="AB82" s="94"/>
      <c r="AC82" s="94"/>
      <c r="AD82" s="94"/>
      <c r="AE82" s="136"/>
      <c r="AF82" s="136"/>
    </row>
    <row r="83" spans="1:52" s="13" customFormat="1" ht="15.6" x14ac:dyDescent="0.25">
      <c r="A83" s="137"/>
      <c r="B83" s="137"/>
      <c r="C83" s="137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40"/>
      <c r="AA83" s="128"/>
      <c r="AB83" s="137"/>
      <c r="AC83" s="137"/>
      <c r="AD83" s="137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</row>
    <row r="84" spans="1:52" x14ac:dyDescent="0.25">
      <c r="A84" s="120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1"/>
      <c r="V84" s="242">
        <f>V79/$U$79</f>
        <v>0.26082065943336535</v>
      </c>
      <c r="W84" s="242">
        <f t="shared" ref="W84:Y84" si="28">W79/$U$79</f>
        <v>0.4532842781149673</v>
      </c>
      <c r="X84" s="242">
        <f t="shared" si="28"/>
        <v>0</v>
      </c>
      <c r="Y84" s="242">
        <f t="shared" si="28"/>
        <v>0.28589506245166735</v>
      </c>
      <c r="Z84" s="120"/>
      <c r="AA84" s="120"/>
      <c r="AB84" s="243">
        <f>SUM(V84:Y84)</f>
        <v>1</v>
      </c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</row>
    <row r="85" spans="1:52" x14ac:dyDescent="0.25">
      <c r="A85" s="120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1"/>
      <c r="V85" s="121"/>
      <c r="W85" s="121"/>
      <c r="X85" s="121"/>
      <c r="Y85" s="121"/>
      <c r="Z85" s="120"/>
      <c r="AA85" s="120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</row>
    <row r="86" spans="1:52" x14ac:dyDescent="0.25">
      <c r="A86" s="120"/>
      <c r="B86" s="122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1"/>
      <c r="V86" s="121"/>
      <c r="W86" s="121"/>
      <c r="X86" s="121"/>
      <c r="Y86" s="121"/>
      <c r="Z86" s="120"/>
      <c r="AA86" s="120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</row>
    <row r="87" spans="1:52" x14ac:dyDescent="0.25">
      <c r="A87" s="120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1"/>
      <c r="V87" s="121"/>
      <c r="W87" s="121"/>
      <c r="X87" s="121"/>
      <c r="Y87" s="121"/>
      <c r="Z87" s="120"/>
      <c r="AA87" s="120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</row>
    <row r="88" spans="1:52" x14ac:dyDescent="0.25">
      <c r="A88" s="120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1"/>
      <c r="V88" s="121"/>
      <c r="W88" s="121"/>
      <c r="X88" s="121"/>
      <c r="Y88" s="121"/>
      <c r="Z88" s="120"/>
      <c r="AA88" s="120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</row>
    <row r="89" spans="1:52" x14ac:dyDescent="0.25">
      <c r="A89" s="120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1"/>
      <c r="V89" s="121"/>
      <c r="W89" s="121"/>
      <c r="X89" s="121"/>
      <c r="Y89" s="121"/>
      <c r="Z89" s="120"/>
      <c r="AA89" s="120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</row>
    <row r="90" spans="1:52" x14ac:dyDescent="0.25">
      <c r="A90" s="120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1"/>
      <c r="V90" s="121"/>
      <c r="W90" s="121"/>
      <c r="X90" s="121"/>
      <c r="Y90" s="121"/>
      <c r="Z90" s="120"/>
      <c r="AA90" s="120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</row>
    <row r="91" spans="1:52" x14ac:dyDescent="0.25">
      <c r="A91" s="120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1"/>
      <c r="V91" s="121"/>
      <c r="W91" s="121"/>
      <c r="X91" s="121"/>
      <c r="Y91" s="121"/>
      <c r="Z91" s="120"/>
      <c r="AA91" s="120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</row>
    <row r="92" spans="1:52" x14ac:dyDescent="0.25">
      <c r="A92" s="120"/>
      <c r="B92" s="121"/>
      <c r="C92" s="13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1"/>
      <c r="V92" s="121"/>
      <c r="W92" s="121"/>
      <c r="X92" s="121"/>
      <c r="Y92" s="121"/>
      <c r="Z92" s="120"/>
      <c r="AA92" s="120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</row>
    <row r="93" spans="1:52" x14ac:dyDescent="0.25">
      <c r="A93" s="120"/>
      <c r="B93" s="132"/>
      <c r="C93" s="13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1"/>
      <c r="V93" s="121"/>
      <c r="W93" s="121"/>
      <c r="X93" s="121"/>
      <c r="Y93" s="121"/>
      <c r="Z93" s="120"/>
      <c r="AA93" s="120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</row>
    <row r="94" spans="1:52" x14ac:dyDescent="0.25">
      <c r="A94" s="120"/>
      <c r="B94" s="132"/>
      <c r="C94" s="13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1"/>
      <c r="V94" s="121"/>
      <c r="W94" s="121"/>
      <c r="X94" s="121"/>
      <c r="Y94" s="121"/>
      <c r="Z94" s="120"/>
      <c r="AA94" s="120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</row>
    <row r="95" spans="1:52" x14ac:dyDescent="0.25">
      <c r="A95" s="120"/>
      <c r="B95" s="132"/>
      <c r="C95" s="13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1"/>
      <c r="V95" s="121"/>
      <c r="W95" s="121"/>
      <c r="X95" s="121"/>
      <c r="Y95" s="121"/>
      <c r="Z95" s="120"/>
      <c r="AA95" s="120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</row>
    <row r="96" spans="1:52" x14ac:dyDescent="0.25">
      <c r="A96" s="120"/>
      <c r="B96" s="121"/>
      <c r="C96" s="121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1"/>
      <c r="V96" s="121"/>
      <c r="W96" s="121"/>
      <c r="X96" s="121"/>
      <c r="Y96" s="121"/>
      <c r="Z96" s="120"/>
      <c r="AA96" s="120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</row>
    <row r="97" spans="1:52" x14ac:dyDescent="0.25">
      <c r="A97" s="120"/>
      <c r="B97" s="121"/>
      <c r="C97" s="121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1"/>
      <c r="V97" s="121"/>
      <c r="W97" s="121"/>
      <c r="X97" s="121"/>
      <c r="Y97" s="121"/>
      <c r="Z97" s="120"/>
      <c r="AA97" s="120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</row>
    <row r="98" spans="1:52" x14ac:dyDescent="0.25">
      <c r="A98" s="120"/>
      <c r="B98" s="121"/>
      <c r="C98" s="121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1"/>
      <c r="V98" s="121"/>
      <c r="W98" s="121"/>
      <c r="X98" s="121"/>
      <c r="Y98" s="121"/>
      <c r="Z98" s="120"/>
      <c r="AA98" s="120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</row>
    <row r="99" spans="1:52" x14ac:dyDescent="0.25">
      <c r="A99" s="120"/>
      <c r="B99" s="121"/>
      <c r="C99" s="121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1"/>
      <c r="V99" s="121"/>
      <c r="W99" s="121"/>
      <c r="X99" s="121"/>
      <c r="Y99" s="121"/>
      <c r="Z99" s="120"/>
      <c r="AA99" s="120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</row>
    <row r="100" spans="1:52" x14ac:dyDescent="0.25">
      <c r="A100" s="120"/>
      <c r="B100" s="121"/>
      <c r="C100" s="121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1"/>
      <c r="V100" s="121"/>
      <c r="W100" s="121"/>
      <c r="X100" s="121"/>
      <c r="Y100" s="121"/>
      <c r="Z100" s="120"/>
      <c r="AA100" s="120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</row>
    <row r="101" spans="1:52" x14ac:dyDescent="0.25">
      <c r="A101" s="120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1"/>
      <c r="V101" s="121"/>
      <c r="W101" s="121"/>
      <c r="X101" s="121"/>
      <c r="Y101" s="121"/>
      <c r="Z101" s="120"/>
      <c r="AA101" s="120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</row>
    <row r="102" spans="1:52" x14ac:dyDescent="0.25">
      <c r="A102" s="120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1"/>
      <c r="V102" s="121"/>
      <c r="W102" s="121"/>
      <c r="X102" s="121"/>
      <c r="Y102" s="121"/>
      <c r="Z102" s="120"/>
      <c r="AA102" s="120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</row>
    <row r="103" spans="1:52" x14ac:dyDescent="0.25">
      <c r="A103" s="120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1"/>
      <c r="V103" s="121"/>
      <c r="W103" s="121"/>
      <c r="X103" s="121"/>
      <c r="Y103" s="121"/>
      <c r="Z103" s="120"/>
      <c r="AA103" s="120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</row>
    <row r="104" spans="1:52" x14ac:dyDescent="0.25">
      <c r="A104" s="120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1"/>
      <c r="V104" s="121"/>
      <c r="W104" s="121"/>
      <c r="X104" s="121"/>
      <c r="Y104" s="121"/>
      <c r="Z104" s="120"/>
      <c r="AA104" s="120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</row>
    <row r="105" spans="1:52" x14ac:dyDescent="0.25">
      <c r="A105" s="120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1"/>
      <c r="V105" s="121"/>
      <c r="W105" s="121"/>
      <c r="X105" s="121"/>
      <c r="Y105" s="121"/>
      <c r="Z105" s="120"/>
      <c r="AA105" s="120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</row>
    <row r="106" spans="1:52" x14ac:dyDescent="0.25">
      <c r="A106" s="120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1"/>
      <c r="V106" s="121"/>
      <c r="W106" s="121"/>
      <c r="X106" s="121"/>
      <c r="Y106" s="121"/>
      <c r="Z106" s="120"/>
      <c r="AA106" s="120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</row>
    <row r="107" spans="1:52" x14ac:dyDescent="0.25">
      <c r="A107" s="120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1"/>
      <c r="V107" s="121"/>
      <c r="W107" s="121"/>
      <c r="X107" s="121"/>
      <c r="Y107" s="121"/>
      <c r="Z107" s="120"/>
      <c r="AA107" s="120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</row>
    <row r="108" spans="1:52" x14ac:dyDescent="0.25">
      <c r="A108" s="120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1"/>
      <c r="V108" s="121"/>
      <c r="W108" s="121"/>
      <c r="X108" s="121"/>
      <c r="Y108" s="121"/>
      <c r="Z108" s="120"/>
      <c r="AA108" s="120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</row>
    <row r="109" spans="1:52" x14ac:dyDescent="0.25">
      <c r="A109" s="120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1"/>
      <c r="V109" s="121"/>
      <c r="W109" s="121"/>
      <c r="X109" s="121"/>
      <c r="Y109" s="121"/>
      <c r="Z109" s="120"/>
      <c r="AA109" s="120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</row>
    <row r="110" spans="1:52" x14ac:dyDescent="0.25">
      <c r="A110" s="120"/>
      <c r="B110" s="121"/>
      <c r="C110" s="121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1"/>
      <c r="V110" s="121"/>
      <c r="W110" s="121"/>
      <c r="X110" s="121"/>
      <c r="Y110" s="121"/>
      <c r="Z110" s="120"/>
      <c r="AA110" s="120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</row>
    <row r="111" spans="1:52" x14ac:dyDescent="0.25">
      <c r="A111" s="120"/>
      <c r="B111" s="121"/>
      <c r="C111" s="121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1"/>
      <c r="V111" s="121"/>
      <c r="W111" s="121"/>
      <c r="X111" s="121"/>
      <c r="Y111" s="121"/>
      <c r="Z111" s="120"/>
      <c r="AA111" s="120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</row>
    <row r="112" spans="1:52" x14ac:dyDescent="0.25">
      <c r="A112" s="120"/>
      <c r="B112" s="121"/>
      <c r="C112" s="121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1"/>
      <c r="V112" s="121"/>
      <c r="W112" s="121"/>
      <c r="X112" s="121"/>
      <c r="Y112" s="121"/>
      <c r="Z112" s="120"/>
      <c r="AA112" s="120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</row>
    <row r="113" spans="1:52" x14ac:dyDescent="0.25">
      <c r="A113" s="120"/>
      <c r="B113" s="121"/>
      <c r="C113" s="121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1"/>
      <c r="V113" s="121"/>
      <c r="W113" s="121"/>
      <c r="X113" s="121"/>
      <c r="Y113" s="121"/>
      <c r="Z113" s="120"/>
      <c r="AA113" s="120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</row>
    <row r="114" spans="1:52" x14ac:dyDescent="0.25">
      <c r="A114" s="120"/>
      <c r="B114" s="121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1"/>
      <c r="V114" s="121"/>
      <c r="W114" s="121"/>
      <c r="X114" s="121"/>
      <c r="Y114" s="121"/>
      <c r="Z114" s="120"/>
      <c r="AA114" s="120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</row>
    <row r="115" spans="1:52" x14ac:dyDescent="0.25">
      <c r="A115" s="120"/>
      <c r="B115" s="121"/>
      <c r="C115" s="121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1"/>
      <c r="V115" s="121"/>
      <c r="W115" s="121"/>
      <c r="X115" s="121"/>
      <c r="Y115" s="121"/>
      <c r="Z115" s="120"/>
      <c r="AA115" s="120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</row>
    <row r="116" spans="1:52" x14ac:dyDescent="0.25">
      <c r="A116" s="120"/>
      <c r="B116" s="121"/>
      <c r="C116" s="121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1"/>
      <c r="V116" s="121"/>
      <c r="W116" s="121"/>
      <c r="X116" s="121"/>
      <c r="Y116" s="121"/>
      <c r="Z116" s="120"/>
      <c r="AA116" s="120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</row>
    <row r="117" spans="1:52" x14ac:dyDescent="0.25">
      <c r="A117" s="120"/>
      <c r="B117" s="121"/>
      <c r="C117" s="121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1"/>
      <c r="V117" s="121"/>
      <c r="W117" s="121"/>
      <c r="X117" s="121"/>
      <c r="Y117" s="121"/>
      <c r="Z117" s="120"/>
      <c r="AA117" s="120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</row>
    <row r="118" spans="1:52" x14ac:dyDescent="0.25">
      <c r="A118" s="120"/>
      <c r="B118" s="121"/>
      <c r="C118" s="121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1"/>
      <c r="V118" s="121"/>
      <c r="W118" s="121"/>
      <c r="X118" s="121"/>
      <c r="Y118" s="121"/>
      <c r="Z118" s="120"/>
      <c r="AA118" s="120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</row>
    <row r="119" spans="1:52" x14ac:dyDescent="0.25">
      <c r="A119" s="120"/>
      <c r="B119" s="121"/>
      <c r="C119" s="121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1"/>
      <c r="V119" s="121"/>
      <c r="W119" s="121"/>
      <c r="X119" s="121"/>
      <c r="Y119" s="121"/>
      <c r="Z119" s="120"/>
      <c r="AA119" s="120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</row>
    <row r="120" spans="1:52" x14ac:dyDescent="0.25">
      <c r="A120" s="120"/>
      <c r="B120" s="121"/>
      <c r="C120" s="121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1"/>
      <c r="V120" s="121"/>
      <c r="W120" s="121"/>
      <c r="X120" s="121"/>
      <c r="Y120" s="121"/>
      <c r="Z120" s="120"/>
      <c r="AA120" s="120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</row>
    <row r="121" spans="1:52" x14ac:dyDescent="0.25">
      <c r="A121" s="120"/>
      <c r="B121" s="121"/>
      <c r="C121" s="121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1"/>
      <c r="V121" s="121"/>
      <c r="W121" s="121"/>
      <c r="X121" s="121"/>
      <c r="Y121" s="121"/>
      <c r="Z121" s="120"/>
      <c r="AA121" s="120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</row>
    <row r="122" spans="1:52" x14ac:dyDescent="0.25">
      <c r="A122" s="120"/>
      <c r="B122" s="121"/>
      <c r="C122" s="121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1"/>
      <c r="V122" s="121"/>
      <c r="W122" s="121"/>
      <c r="X122" s="121"/>
      <c r="Y122" s="121"/>
      <c r="Z122" s="120"/>
      <c r="AA122" s="120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</row>
    <row r="123" spans="1:52" x14ac:dyDescent="0.25">
      <c r="A123" s="120"/>
      <c r="B123" s="121"/>
      <c r="C123" s="121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1"/>
      <c r="V123" s="121"/>
      <c r="W123" s="121"/>
      <c r="X123" s="121"/>
      <c r="Y123" s="121"/>
      <c r="Z123" s="120"/>
      <c r="AA123" s="120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</row>
    <row r="124" spans="1:52" x14ac:dyDescent="0.25">
      <c r="A124" s="120"/>
      <c r="B124" s="121"/>
      <c r="C124" s="121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1"/>
      <c r="V124" s="121"/>
      <c r="W124" s="121"/>
      <c r="X124" s="121"/>
      <c r="Y124" s="121"/>
      <c r="Z124" s="120"/>
      <c r="AA124" s="120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</row>
    <row r="125" spans="1:52" x14ac:dyDescent="0.25">
      <c r="A125" s="120"/>
      <c r="B125" s="121"/>
      <c r="C125" s="121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1"/>
      <c r="V125" s="121"/>
      <c r="W125" s="121"/>
      <c r="X125" s="121"/>
      <c r="Y125" s="121"/>
      <c r="Z125" s="120"/>
      <c r="AA125" s="120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</row>
    <row r="126" spans="1:52" x14ac:dyDescent="0.25">
      <c r="A126" s="120"/>
      <c r="B126" s="121"/>
      <c r="C126" s="121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1"/>
      <c r="V126" s="121"/>
      <c r="W126" s="121"/>
      <c r="X126" s="121"/>
      <c r="Y126" s="121"/>
      <c r="Z126" s="120"/>
      <c r="AA126" s="120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</row>
    <row r="127" spans="1:52" x14ac:dyDescent="0.25">
      <c r="A127" s="120"/>
      <c r="B127" s="121"/>
      <c r="C127" s="121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1"/>
      <c r="V127" s="121"/>
      <c r="W127" s="121"/>
      <c r="X127" s="121"/>
      <c r="Y127" s="121"/>
      <c r="Z127" s="120"/>
      <c r="AA127" s="120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</row>
    <row r="128" spans="1:52" x14ac:dyDescent="0.25">
      <c r="A128" s="120"/>
      <c r="B128" s="121"/>
      <c r="C128" s="121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1"/>
      <c r="V128" s="121"/>
      <c r="W128" s="121"/>
      <c r="X128" s="121"/>
      <c r="Y128" s="121"/>
      <c r="Z128" s="120"/>
      <c r="AA128" s="120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</row>
    <row r="129" spans="1:52" x14ac:dyDescent="0.25">
      <c r="A129" s="120"/>
      <c r="B129" s="121"/>
      <c r="C129" s="121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1"/>
      <c r="V129" s="121"/>
      <c r="W129" s="121"/>
      <c r="X129" s="121"/>
      <c r="Y129" s="121"/>
      <c r="Z129" s="120"/>
      <c r="AA129" s="120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</row>
    <row r="130" spans="1:52" x14ac:dyDescent="0.25">
      <c r="A130" s="120"/>
      <c r="B130" s="121"/>
      <c r="C130" s="121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1"/>
      <c r="V130" s="121"/>
      <c r="W130" s="121"/>
      <c r="X130" s="121"/>
      <c r="Y130" s="121"/>
      <c r="Z130" s="120"/>
      <c r="AA130" s="120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</row>
    <row r="131" spans="1:52" x14ac:dyDescent="0.25">
      <c r="A131" s="120"/>
      <c r="B131" s="121"/>
      <c r="C131" s="121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1"/>
      <c r="V131" s="121"/>
      <c r="W131" s="121"/>
      <c r="X131" s="121"/>
      <c r="Y131" s="121"/>
      <c r="Z131" s="120"/>
      <c r="AA131" s="120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</row>
    <row r="132" spans="1:52" x14ac:dyDescent="0.25">
      <c r="A132" s="120"/>
      <c r="B132" s="121"/>
      <c r="C132" s="121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1"/>
      <c r="V132" s="121"/>
      <c r="W132" s="121"/>
      <c r="X132" s="121"/>
      <c r="Y132" s="121"/>
      <c r="Z132" s="120"/>
      <c r="AA132" s="120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</row>
    <row r="133" spans="1:52" x14ac:dyDescent="0.25">
      <c r="A133" s="120"/>
      <c r="B133" s="121"/>
      <c r="C133" s="121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1"/>
      <c r="V133" s="121"/>
      <c r="W133" s="121"/>
      <c r="X133" s="121"/>
      <c r="Y133" s="121"/>
      <c r="Z133" s="120"/>
      <c r="AA133" s="120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</row>
    <row r="134" spans="1:52" x14ac:dyDescent="0.25">
      <c r="A134" s="120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1"/>
      <c r="V134" s="121"/>
      <c r="W134" s="121"/>
      <c r="X134" s="121"/>
      <c r="Y134" s="121"/>
      <c r="Z134" s="120"/>
      <c r="AA134" s="120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</row>
  </sheetData>
  <sheetProtection algorithmName="SHA-512" hashValue="UH4x9RWKUEXRe9vMpdS7k3IXVfipr2oa72oDuSHZfMBOos52/4mJQ7s+iBdk+3OcUABORYW7pDbEMeOlyLxrkw==" saltValue="EJdBJk/IPETlJS6L++n86Q==" spinCount="100000" sheet="1" formatCells="0" formatColumns="0" formatRows="0" insertColumns="0" insertRows="0" insertHyperlinks="0" deleteColumns="0" deleteRows="0" sort="0" autoFilter="0" pivotTables="0"/>
  <sortState ref="A7:AZ83">
    <sortCondition ref="B7:B83"/>
  </sortState>
  <mergeCells count="2">
    <mergeCell ref="A2:Y2"/>
    <mergeCell ref="A3:Y3"/>
  </mergeCells>
  <printOptions horizontalCentered="1"/>
  <pageMargins left="0" right="0" top="0.78740157480314965" bottom="0.78740157480314965" header="0.51181102362204722" footer="0.51181102362204722"/>
  <pageSetup paperSize="9" scale="80" orientation="landscape" r:id="rId1"/>
  <headerFooter alignWithMargins="0">
    <oddFooter>&amp;Cעמוד &amp;P מתוך &amp;N&amp;Rאגף ת.ב.ל
עמוד 34 - 32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6"/>
  <sheetViews>
    <sheetView showZeros="0" rightToLeft="1" zoomScaleNormal="100" workbookViewId="0">
      <pane xSplit="3" ySplit="5" topLeftCell="D51" activePane="bottomRight" state="frozen"/>
      <selection pane="topRight" activeCell="D1" sqref="D1"/>
      <selection pane="bottomLeft" activeCell="A6" sqref="A6"/>
      <selection pane="bottomRight" activeCell="M77" sqref="M77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3.33203125" style="21" customWidth="1"/>
    <col min="4" max="5" width="12.6640625" style="19" bestFit="1" customWidth="1"/>
    <col min="6" max="6" width="11.5546875" style="19" bestFit="1" customWidth="1"/>
    <col min="7" max="10" width="12.6640625" style="19" hidden="1" customWidth="1"/>
    <col min="11" max="11" width="11.33203125" style="19" hidden="1" customWidth="1"/>
    <col min="12" max="14" width="12.6640625" style="19" bestFit="1" customWidth="1"/>
    <col min="15" max="15" width="11.33203125" style="19" customWidth="1"/>
    <col min="16" max="17" width="11.109375" style="19" hidden="1" customWidth="1"/>
    <col min="18" max="19" width="12" style="19" hidden="1" customWidth="1"/>
    <col min="20" max="20" width="10.5546875" style="19" hidden="1" customWidth="1"/>
    <col min="21" max="21" width="11.88671875" style="21" customWidth="1"/>
    <col min="22" max="22" width="12.6640625" style="21" bestFit="1" customWidth="1"/>
    <col min="23" max="23" width="9" style="21" bestFit="1" customWidth="1"/>
    <col min="24" max="24" width="7.5546875" style="21" hidden="1" customWidth="1"/>
    <col min="25" max="25" width="10.5546875" style="21" customWidth="1"/>
    <col min="26" max="26" width="80.6640625" style="62" hidden="1" customWidth="1"/>
    <col min="27" max="27" width="80.6640625" style="21" hidden="1" customWidth="1"/>
    <col min="28" max="28" width="10.6640625" style="21" hidden="1" customWidth="1"/>
    <col min="29" max="29" width="80.6640625" style="21" hidden="1" customWidth="1"/>
    <col min="30" max="30" width="80.6640625" style="19" hidden="1" customWidth="1"/>
    <col min="31" max="31" width="8.44140625" style="21" hidden="1" customWidth="1"/>
    <col min="32" max="32" width="12.88671875" style="21" hidden="1" customWidth="1"/>
    <col min="33" max="33" width="15.6640625" style="21" hidden="1" customWidth="1"/>
    <col min="34" max="35" width="15.6640625" style="21" customWidth="1"/>
    <col min="36" max="16384" width="9.109375" style="21"/>
  </cols>
  <sheetData>
    <row r="2" spans="1:33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61"/>
    </row>
    <row r="3" spans="1:33" ht="18" x14ac:dyDescent="0.35">
      <c r="A3" s="256" t="s">
        <v>332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AD3" s="21"/>
    </row>
    <row r="5" spans="1:33" s="85" customFormat="1" ht="86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359</v>
      </c>
      <c r="N5" s="5" t="s">
        <v>360</v>
      </c>
      <c r="O5" s="5" t="s">
        <v>361</v>
      </c>
      <c r="P5" s="5" t="s">
        <v>12</v>
      </c>
      <c r="Q5" s="5" t="s">
        <v>362</v>
      </c>
      <c r="R5" s="5" t="s">
        <v>363</v>
      </c>
      <c r="S5" s="5" t="s">
        <v>364</v>
      </c>
      <c r="T5" s="5" t="s">
        <v>365</v>
      </c>
      <c r="U5" s="5" t="s">
        <v>366</v>
      </c>
      <c r="V5" s="5" t="s">
        <v>13</v>
      </c>
      <c r="W5" s="5" t="s">
        <v>14</v>
      </c>
      <c r="X5" s="5" t="s">
        <v>15</v>
      </c>
      <c r="Y5" s="5" t="s">
        <v>285</v>
      </c>
      <c r="Z5" s="70" t="s">
        <v>16</v>
      </c>
      <c r="AA5" s="5" t="s">
        <v>17</v>
      </c>
      <c r="AB5" s="201" t="s">
        <v>18</v>
      </c>
      <c r="AD5" s="5" t="s">
        <v>442</v>
      </c>
    </row>
    <row r="6" spans="1:33" s="8" customFormat="1" x14ac:dyDescent="0.25">
      <c r="A6" s="6">
        <v>1</v>
      </c>
      <c r="B6" s="6">
        <v>382</v>
      </c>
      <c r="C6" s="14" t="s">
        <v>252</v>
      </c>
      <c r="D6" s="15">
        <f>34381930+3500000</f>
        <v>37881930</v>
      </c>
      <c r="E6" s="15">
        <v>34381930</v>
      </c>
      <c r="F6" s="15">
        <f t="shared" ref="F6:F36" si="0">D6-E6</f>
        <v>3500000</v>
      </c>
      <c r="G6" s="15">
        <v>28581330</v>
      </c>
      <c r="H6" s="15">
        <v>26695452.18</v>
      </c>
      <c r="I6" s="15">
        <v>1418838.43</v>
      </c>
      <c r="J6" s="15"/>
      <c r="K6" s="15">
        <f t="shared" ref="K6:K36" si="1">SUM(I6:J6)</f>
        <v>1418838.43</v>
      </c>
      <c r="L6" s="15">
        <f t="shared" ref="L6:L36" si="2">H6+K6</f>
        <v>28114290.609999999</v>
      </c>
      <c r="M6" s="15">
        <f t="shared" ref="M6:M36" si="3">P6+S6</f>
        <v>2567039.3900000006</v>
      </c>
      <c r="N6" s="15">
        <f>1000000</f>
        <v>1000000</v>
      </c>
      <c r="O6" s="15">
        <f t="shared" ref="O6:O36" si="4">D6-L6-M6-N6</f>
        <v>6200600</v>
      </c>
      <c r="P6" s="15">
        <f t="shared" ref="P6:P36" si="5">G6-L6</f>
        <v>467039.3900000006</v>
      </c>
      <c r="Q6" s="15"/>
      <c r="R6" s="15">
        <v>2100000</v>
      </c>
      <c r="S6" s="15">
        <f t="shared" ref="S6:S36" si="6">SUM(Q6:R6)</f>
        <v>2100000</v>
      </c>
      <c r="T6" s="7">
        <f t="shared" ref="T6:T36" si="7">P6-M6+S6</f>
        <v>0</v>
      </c>
      <c r="U6" s="7">
        <f t="shared" ref="U6:U36" si="8">N6-T6</f>
        <v>1000000</v>
      </c>
      <c r="V6" s="7">
        <f t="shared" ref="V6:V18" si="9">U6-W6-X6-Y6</f>
        <v>1000000</v>
      </c>
      <c r="W6" s="7"/>
      <c r="X6" s="7"/>
      <c r="Y6" s="6"/>
      <c r="Z6" s="78"/>
      <c r="AA6" s="210" t="s">
        <v>547</v>
      </c>
      <c r="AB6" s="202">
        <v>742000</v>
      </c>
      <c r="AD6" s="111" t="s">
        <v>443</v>
      </c>
      <c r="AG6" s="8">
        <v>1</v>
      </c>
    </row>
    <row r="7" spans="1:33" s="8" customFormat="1" x14ac:dyDescent="0.25">
      <c r="A7" s="6">
        <f>A6+1</f>
        <v>2</v>
      </c>
      <c r="B7" s="6">
        <v>437</v>
      </c>
      <c r="C7" s="14" t="s">
        <v>253</v>
      </c>
      <c r="D7" s="15">
        <v>11000000</v>
      </c>
      <c r="E7" s="15">
        <v>11000000</v>
      </c>
      <c r="F7" s="15">
        <f t="shared" si="0"/>
        <v>0</v>
      </c>
      <c r="G7" s="15">
        <v>9495000</v>
      </c>
      <c r="H7" s="15">
        <v>9356216.4100000001</v>
      </c>
      <c r="I7" s="15"/>
      <c r="J7" s="15"/>
      <c r="K7" s="15">
        <f t="shared" si="1"/>
        <v>0</v>
      </c>
      <c r="L7" s="15">
        <f t="shared" si="2"/>
        <v>9356216.4100000001</v>
      </c>
      <c r="M7" s="15">
        <f t="shared" si="3"/>
        <v>138783.58999999985</v>
      </c>
      <c r="N7" s="15">
        <v>1505000</v>
      </c>
      <c r="O7" s="15">
        <f t="shared" si="4"/>
        <v>0</v>
      </c>
      <c r="P7" s="15">
        <f t="shared" si="5"/>
        <v>138783.58999999985</v>
      </c>
      <c r="Q7" s="15"/>
      <c r="R7" s="15"/>
      <c r="S7" s="15">
        <f t="shared" si="6"/>
        <v>0</v>
      </c>
      <c r="T7" s="7">
        <f t="shared" si="7"/>
        <v>0</v>
      </c>
      <c r="U7" s="7">
        <f t="shared" si="8"/>
        <v>1505000</v>
      </c>
      <c r="V7" s="7">
        <f t="shared" si="9"/>
        <v>1505000</v>
      </c>
      <c r="W7" s="7"/>
      <c r="X7" s="7"/>
      <c r="Y7" s="6"/>
      <c r="Z7" s="79"/>
      <c r="AA7" s="210" t="s">
        <v>548</v>
      </c>
      <c r="AB7" s="202">
        <v>742000</v>
      </c>
      <c r="AC7" s="8">
        <v>5</v>
      </c>
      <c r="AD7" s="15" t="s">
        <v>443</v>
      </c>
      <c r="AG7" s="8">
        <v>1</v>
      </c>
    </row>
    <row r="8" spans="1:33" s="9" customFormat="1" x14ac:dyDescent="0.25">
      <c r="A8" s="6">
        <f t="shared" ref="A8:A54" si="10">A7+1</f>
        <v>3</v>
      </c>
      <c r="B8" s="6">
        <v>439</v>
      </c>
      <c r="C8" s="14" t="s">
        <v>254</v>
      </c>
      <c r="D8" s="15">
        <f>18225000-900000</f>
        <v>17325000</v>
      </c>
      <c r="E8" s="15">
        <v>18225000</v>
      </c>
      <c r="F8" s="15">
        <f t="shared" si="0"/>
        <v>-900000</v>
      </c>
      <c r="G8" s="15">
        <v>16725000</v>
      </c>
      <c r="H8" s="15">
        <v>16307844</v>
      </c>
      <c r="I8" s="15">
        <v>71991.009999999995</v>
      </c>
      <c r="J8" s="15"/>
      <c r="K8" s="15">
        <f t="shared" si="1"/>
        <v>71991.009999999995</v>
      </c>
      <c r="L8" s="15">
        <f t="shared" si="2"/>
        <v>16379835.01</v>
      </c>
      <c r="M8" s="15">
        <f t="shared" si="3"/>
        <v>945164.99000000022</v>
      </c>
      <c r="N8" s="15"/>
      <c r="O8" s="15">
        <f t="shared" si="4"/>
        <v>0</v>
      </c>
      <c r="P8" s="15">
        <f t="shared" si="5"/>
        <v>345164.99000000022</v>
      </c>
      <c r="Q8" s="15">
        <v>600000</v>
      </c>
      <c r="R8" s="15"/>
      <c r="S8" s="15">
        <f t="shared" si="6"/>
        <v>600000</v>
      </c>
      <c r="T8" s="7">
        <f t="shared" si="7"/>
        <v>0</v>
      </c>
      <c r="U8" s="7">
        <f t="shared" si="8"/>
        <v>0</v>
      </c>
      <c r="V8" s="7">
        <f t="shared" si="9"/>
        <v>0</v>
      </c>
      <c r="W8" s="7"/>
      <c r="X8" s="7"/>
      <c r="Y8" s="6"/>
      <c r="Z8" s="79"/>
      <c r="AA8" s="6"/>
      <c r="AB8" s="202">
        <v>742000</v>
      </c>
      <c r="AC8" s="8">
        <v>5</v>
      </c>
      <c r="AD8" s="15"/>
      <c r="AG8" s="9">
        <v>3</v>
      </c>
    </row>
    <row r="9" spans="1:33" s="9" customFormat="1" x14ac:dyDescent="0.25">
      <c r="A9" s="6">
        <f t="shared" si="10"/>
        <v>4</v>
      </c>
      <c r="B9" s="6">
        <v>532</v>
      </c>
      <c r="C9" s="14" t="s">
        <v>255</v>
      </c>
      <c r="D9" s="15">
        <v>80090000</v>
      </c>
      <c r="E9" s="15">
        <v>80090000</v>
      </c>
      <c r="F9" s="15">
        <f t="shared" si="0"/>
        <v>0</v>
      </c>
      <c r="G9" s="15">
        <f>49740000</f>
        <v>49740000</v>
      </c>
      <c r="H9" s="15">
        <v>47640166.969999999</v>
      </c>
      <c r="I9" s="15">
        <v>2078861.43</v>
      </c>
      <c r="J9" s="15">
        <v>1180.55</v>
      </c>
      <c r="K9" s="15">
        <f t="shared" si="1"/>
        <v>2080041.98</v>
      </c>
      <c r="L9" s="15">
        <f t="shared" si="2"/>
        <v>49720208.949999996</v>
      </c>
      <c r="M9" s="15">
        <f t="shared" si="3"/>
        <v>8969791.0500000045</v>
      </c>
      <c r="N9" s="15">
        <v>10000000</v>
      </c>
      <c r="O9" s="15">
        <f t="shared" si="4"/>
        <v>11400000</v>
      </c>
      <c r="P9" s="15">
        <f t="shared" si="5"/>
        <v>19791.05000000447</v>
      </c>
      <c r="Q9" s="15">
        <v>8950000</v>
      </c>
      <c r="R9" s="15"/>
      <c r="S9" s="15">
        <f t="shared" si="6"/>
        <v>8950000</v>
      </c>
      <c r="T9" s="7">
        <f t="shared" si="7"/>
        <v>0</v>
      </c>
      <c r="U9" s="7">
        <f t="shared" si="8"/>
        <v>10000000</v>
      </c>
      <c r="V9" s="7">
        <f t="shared" si="9"/>
        <v>10000000</v>
      </c>
      <c r="W9" s="7"/>
      <c r="X9" s="7"/>
      <c r="Y9" s="6"/>
      <c r="Z9" s="79"/>
      <c r="AA9" s="210" t="s">
        <v>549</v>
      </c>
      <c r="AB9" s="202">
        <v>742000</v>
      </c>
      <c r="AC9" s="8">
        <v>4</v>
      </c>
      <c r="AD9" s="15" t="s">
        <v>443</v>
      </c>
      <c r="AG9" s="8">
        <v>1</v>
      </c>
    </row>
    <row r="10" spans="1:33" s="9" customFormat="1" x14ac:dyDescent="0.25">
      <c r="A10" s="6">
        <f t="shared" si="10"/>
        <v>5</v>
      </c>
      <c r="B10" s="6">
        <v>576</v>
      </c>
      <c r="C10" s="14" t="s">
        <v>256</v>
      </c>
      <c r="D10" s="15">
        <v>45113000</v>
      </c>
      <c r="E10" s="15">
        <v>45113000</v>
      </c>
      <c r="F10" s="15">
        <f t="shared" si="0"/>
        <v>0</v>
      </c>
      <c r="G10" s="15">
        <f>42113000+1000000</f>
        <v>43113000</v>
      </c>
      <c r="H10" s="15">
        <v>38909001.600000001</v>
      </c>
      <c r="I10" s="15">
        <v>995123.88</v>
      </c>
      <c r="J10" s="15">
        <v>1726.19</v>
      </c>
      <c r="K10" s="15">
        <f t="shared" si="1"/>
        <v>996850.07</v>
      </c>
      <c r="L10" s="15">
        <f t="shared" si="2"/>
        <v>39905851.670000002</v>
      </c>
      <c r="M10" s="15">
        <f t="shared" si="3"/>
        <v>5207148.3299999982</v>
      </c>
      <c r="N10" s="15"/>
      <c r="O10" s="15">
        <f t="shared" si="4"/>
        <v>0</v>
      </c>
      <c r="P10" s="15">
        <f t="shared" si="5"/>
        <v>3207148.3299999982</v>
      </c>
      <c r="Q10" s="15">
        <v>2000000</v>
      </c>
      <c r="R10" s="15"/>
      <c r="S10" s="15">
        <f t="shared" si="6"/>
        <v>2000000</v>
      </c>
      <c r="T10" s="7">
        <f t="shared" si="7"/>
        <v>0</v>
      </c>
      <c r="U10" s="7">
        <f t="shared" si="8"/>
        <v>0</v>
      </c>
      <c r="V10" s="7">
        <f t="shared" si="9"/>
        <v>0</v>
      </c>
      <c r="W10" s="7"/>
      <c r="X10" s="7"/>
      <c r="Y10" s="6"/>
      <c r="Z10" s="80"/>
      <c r="AA10" s="6"/>
      <c r="AB10" s="202">
        <v>760000</v>
      </c>
      <c r="AC10" s="8">
        <v>1</v>
      </c>
      <c r="AD10" s="15"/>
      <c r="AG10" s="9">
        <v>3</v>
      </c>
    </row>
    <row r="11" spans="1:33" s="9" customFormat="1" x14ac:dyDescent="0.25">
      <c r="A11" s="6">
        <f t="shared" si="10"/>
        <v>6</v>
      </c>
      <c r="B11" s="6">
        <v>634</v>
      </c>
      <c r="C11" s="14" t="s">
        <v>257</v>
      </c>
      <c r="D11" s="15">
        <v>57250000</v>
      </c>
      <c r="E11" s="15">
        <v>57250000</v>
      </c>
      <c r="F11" s="15">
        <f t="shared" si="0"/>
        <v>0</v>
      </c>
      <c r="G11" s="15">
        <v>46050000</v>
      </c>
      <c r="H11" s="15">
        <v>44361916.850000001</v>
      </c>
      <c r="I11" s="15">
        <v>1683935.87</v>
      </c>
      <c r="J11" s="15">
        <v>1553.41</v>
      </c>
      <c r="K11" s="15">
        <f t="shared" si="1"/>
        <v>1685489.28</v>
      </c>
      <c r="L11" s="15">
        <f t="shared" si="2"/>
        <v>46047406.130000003</v>
      </c>
      <c r="M11" s="15">
        <f t="shared" si="3"/>
        <v>2902593.8699999973</v>
      </c>
      <c r="N11" s="15">
        <v>8300000</v>
      </c>
      <c r="O11" s="15">
        <f t="shared" si="4"/>
        <v>0</v>
      </c>
      <c r="P11" s="15">
        <f t="shared" si="5"/>
        <v>2593.8699999973178</v>
      </c>
      <c r="Q11" s="15">
        <f>400000</f>
        <v>400000</v>
      </c>
      <c r="R11" s="15">
        <v>2500000</v>
      </c>
      <c r="S11" s="15">
        <f t="shared" si="6"/>
        <v>2900000</v>
      </c>
      <c r="T11" s="7">
        <f t="shared" si="7"/>
        <v>0</v>
      </c>
      <c r="U11" s="15">
        <f t="shared" si="8"/>
        <v>8300000</v>
      </c>
      <c r="V11" s="7">
        <f t="shared" si="9"/>
        <v>9051445</v>
      </c>
      <c r="W11" s="7"/>
      <c r="X11" s="7"/>
      <c r="Y11" s="7">
        <v>-751445</v>
      </c>
      <c r="Z11" s="79"/>
      <c r="AA11" s="210" t="s">
        <v>550</v>
      </c>
      <c r="AB11" s="240">
        <v>742000</v>
      </c>
      <c r="AC11" s="8"/>
      <c r="AD11" s="15" t="s">
        <v>443</v>
      </c>
      <c r="AG11" s="8">
        <v>1</v>
      </c>
    </row>
    <row r="12" spans="1:33" s="9" customFormat="1" x14ac:dyDescent="0.25">
      <c r="A12" s="6">
        <f t="shared" si="10"/>
        <v>7</v>
      </c>
      <c r="B12" s="6">
        <v>642</v>
      </c>
      <c r="C12" s="14" t="s">
        <v>258</v>
      </c>
      <c r="D12" s="15">
        <v>15780000</v>
      </c>
      <c r="E12" s="15">
        <v>15780000</v>
      </c>
      <c r="F12" s="15">
        <f t="shared" si="0"/>
        <v>0</v>
      </c>
      <c r="G12" s="15">
        <v>13230000</v>
      </c>
      <c r="H12" s="15">
        <v>12979997.880000001</v>
      </c>
      <c r="I12" s="15">
        <v>224184.89</v>
      </c>
      <c r="J12" s="15"/>
      <c r="K12" s="15">
        <f t="shared" si="1"/>
        <v>224184.89</v>
      </c>
      <c r="L12" s="15">
        <f t="shared" si="2"/>
        <v>13204182.770000001</v>
      </c>
      <c r="M12" s="15">
        <f t="shared" si="3"/>
        <v>1175817.2299999986</v>
      </c>
      <c r="N12" s="15">
        <v>1400000</v>
      </c>
      <c r="O12" s="15">
        <f t="shared" si="4"/>
        <v>0</v>
      </c>
      <c r="P12" s="15">
        <f t="shared" si="5"/>
        <v>25817.229999998584</v>
      </c>
      <c r="Q12" s="15"/>
      <c r="R12" s="15">
        <v>1150000</v>
      </c>
      <c r="S12" s="15">
        <f t="shared" si="6"/>
        <v>1150000</v>
      </c>
      <c r="T12" s="7">
        <f t="shared" si="7"/>
        <v>0</v>
      </c>
      <c r="U12" s="7">
        <f t="shared" si="8"/>
        <v>1400000</v>
      </c>
      <c r="V12" s="7">
        <f t="shared" si="9"/>
        <v>1400000</v>
      </c>
      <c r="W12" s="7"/>
      <c r="X12" s="7"/>
      <c r="Y12" s="6"/>
      <c r="Z12" s="79"/>
      <c r="AA12" s="210" t="s">
        <v>551</v>
      </c>
      <c r="AB12" s="240">
        <v>742000</v>
      </c>
      <c r="AC12" s="8">
        <v>5</v>
      </c>
      <c r="AD12" s="15" t="s">
        <v>443</v>
      </c>
      <c r="AG12" s="8">
        <v>1</v>
      </c>
    </row>
    <row r="13" spans="1:33" s="8" customFormat="1" x14ac:dyDescent="0.25">
      <c r="A13" s="6">
        <f t="shared" si="10"/>
        <v>8</v>
      </c>
      <c r="B13" s="6">
        <v>650</v>
      </c>
      <c r="C13" s="14" t="s">
        <v>259</v>
      </c>
      <c r="D13" s="15">
        <v>14500000</v>
      </c>
      <c r="E13" s="15">
        <v>14500000</v>
      </c>
      <c r="F13" s="15">
        <f t="shared" si="0"/>
        <v>0</v>
      </c>
      <c r="G13" s="15">
        <v>10750000</v>
      </c>
      <c r="H13" s="15">
        <v>10668305.17</v>
      </c>
      <c r="I13" s="15">
        <v>80466.960000000006</v>
      </c>
      <c r="J13" s="15">
        <v>1086.07</v>
      </c>
      <c r="K13" s="15">
        <f t="shared" si="1"/>
        <v>81553.030000000013</v>
      </c>
      <c r="L13" s="15">
        <f t="shared" si="2"/>
        <v>10749858.199999999</v>
      </c>
      <c r="M13" s="15">
        <f t="shared" si="3"/>
        <v>141.80000000074506</v>
      </c>
      <c r="N13" s="15"/>
      <c r="O13" s="15">
        <f t="shared" si="4"/>
        <v>3750000</v>
      </c>
      <c r="P13" s="15">
        <f t="shared" si="5"/>
        <v>141.80000000074506</v>
      </c>
      <c r="Q13" s="15"/>
      <c r="R13" s="15"/>
      <c r="S13" s="15">
        <f t="shared" si="6"/>
        <v>0</v>
      </c>
      <c r="T13" s="7">
        <f t="shared" si="7"/>
        <v>0</v>
      </c>
      <c r="U13" s="7">
        <f t="shared" si="8"/>
        <v>0</v>
      </c>
      <c r="V13" s="7">
        <f t="shared" si="9"/>
        <v>0</v>
      </c>
      <c r="W13" s="7"/>
      <c r="X13" s="7"/>
      <c r="Y13" s="6"/>
      <c r="Z13" s="79"/>
      <c r="AA13" s="6" t="s">
        <v>562</v>
      </c>
      <c r="AB13" s="202">
        <v>742000</v>
      </c>
      <c r="AC13" s="8">
        <v>5</v>
      </c>
      <c r="AD13" s="15" t="s">
        <v>445</v>
      </c>
      <c r="AG13" s="8">
        <v>2</v>
      </c>
    </row>
    <row r="14" spans="1:33" s="9" customFormat="1" x14ac:dyDescent="0.25">
      <c r="A14" s="6">
        <f t="shared" si="10"/>
        <v>9</v>
      </c>
      <c r="B14" s="6">
        <v>1067</v>
      </c>
      <c r="C14" s="14" t="s">
        <v>260</v>
      </c>
      <c r="D14" s="15">
        <f>2575000+500000</f>
        <v>3075000</v>
      </c>
      <c r="E14" s="15">
        <v>2575000</v>
      </c>
      <c r="F14" s="15">
        <f t="shared" si="0"/>
        <v>500000</v>
      </c>
      <c r="G14" s="15">
        <v>2225000</v>
      </c>
      <c r="H14" s="15">
        <v>2053792.44</v>
      </c>
      <c r="I14" s="15">
        <v>146791.87</v>
      </c>
      <c r="J14" s="15"/>
      <c r="K14" s="15">
        <f t="shared" si="1"/>
        <v>146791.87</v>
      </c>
      <c r="L14" s="15">
        <f t="shared" si="2"/>
        <v>2200584.31</v>
      </c>
      <c r="M14" s="15">
        <f t="shared" si="3"/>
        <v>374415.68999999994</v>
      </c>
      <c r="N14" s="15">
        <v>500000</v>
      </c>
      <c r="O14" s="15">
        <f t="shared" si="4"/>
        <v>0</v>
      </c>
      <c r="P14" s="15">
        <f t="shared" si="5"/>
        <v>24415.689999999944</v>
      </c>
      <c r="Q14" s="15"/>
      <c r="R14" s="15">
        <v>350000</v>
      </c>
      <c r="S14" s="15">
        <f t="shared" si="6"/>
        <v>350000</v>
      </c>
      <c r="T14" s="7">
        <f t="shared" si="7"/>
        <v>0</v>
      </c>
      <c r="U14" s="7">
        <f t="shared" si="8"/>
        <v>500000</v>
      </c>
      <c r="V14" s="7">
        <f t="shared" si="9"/>
        <v>500000</v>
      </c>
      <c r="W14" s="7"/>
      <c r="X14" s="7"/>
      <c r="Y14" s="6"/>
      <c r="Z14" s="79"/>
      <c r="AA14" s="211"/>
      <c r="AB14" s="202">
        <v>742000</v>
      </c>
      <c r="AC14" s="8">
        <v>2</v>
      </c>
      <c r="AD14" s="15" t="s">
        <v>443</v>
      </c>
      <c r="AE14" s="8"/>
      <c r="AF14" s="8"/>
      <c r="AG14" s="8">
        <v>1</v>
      </c>
    </row>
    <row r="15" spans="1:33" s="8" customFormat="1" x14ac:dyDescent="0.25">
      <c r="A15" s="6">
        <f t="shared" si="10"/>
        <v>10</v>
      </c>
      <c r="B15" s="6">
        <v>1074</v>
      </c>
      <c r="C15" s="14" t="s">
        <v>261</v>
      </c>
      <c r="D15" s="15">
        <v>9517000</v>
      </c>
      <c r="E15" s="15">
        <v>9517000</v>
      </c>
      <c r="F15" s="15">
        <f t="shared" si="0"/>
        <v>0</v>
      </c>
      <c r="G15" s="15">
        <v>9517000</v>
      </c>
      <c r="H15" s="15">
        <v>9491111</v>
      </c>
      <c r="I15" s="15">
        <v>1791.22</v>
      </c>
      <c r="J15" s="15"/>
      <c r="K15" s="15">
        <f t="shared" si="1"/>
        <v>1791.22</v>
      </c>
      <c r="L15" s="15">
        <f t="shared" si="2"/>
        <v>9492902.2200000007</v>
      </c>
      <c r="M15" s="15">
        <f t="shared" si="3"/>
        <v>24097.779999999329</v>
      </c>
      <c r="N15" s="15"/>
      <c r="O15" s="15">
        <f t="shared" si="4"/>
        <v>0</v>
      </c>
      <c r="P15" s="15">
        <f t="shared" si="5"/>
        <v>24097.779999999329</v>
      </c>
      <c r="Q15" s="15"/>
      <c r="R15" s="15"/>
      <c r="S15" s="15">
        <f t="shared" si="6"/>
        <v>0</v>
      </c>
      <c r="T15" s="7">
        <f t="shared" si="7"/>
        <v>0</v>
      </c>
      <c r="U15" s="7">
        <f t="shared" si="8"/>
        <v>0</v>
      </c>
      <c r="V15" s="7">
        <f t="shared" si="9"/>
        <v>0</v>
      </c>
      <c r="W15" s="7"/>
      <c r="X15" s="7"/>
      <c r="Y15" s="6"/>
      <c r="Z15" s="79"/>
      <c r="AA15" s="6"/>
      <c r="AB15" s="202">
        <v>815000</v>
      </c>
      <c r="AC15" s="8">
        <v>6</v>
      </c>
      <c r="AD15" s="15"/>
      <c r="AE15" s="9"/>
      <c r="AF15" s="9" t="s">
        <v>446</v>
      </c>
      <c r="AG15" s="9">
        <v>3</v>
      </c>
    </row>
    <row r="16" spans="1:33" s="8" customFormat="1" x14ac:dyDescent="0.25">
      <c r="A16" s="6">
        <f t="shared" si="10"/>
        <v>11</v>
      </c>
      <c r="B16" s="14">
        <v>1207</v>
      </c>
      <c r="C16" s="14" t="s">
        <v>262</v>
      </c>
      <c r="D16" s="15">
        <v>32500000</v>
      </c>
      <c r="E16" s="15">
        <v>32500000</v>
      </c>
      <c r="F16" s="15">
        <f t="shared" si="0"/>
        <v>0</v>
      </c>
      <c r="G16" s="15">
        <v>17800000</v>
      </c>
      <c r="H16" s="15">
        <v>17799797.899999999</v>
      </c>
      <c r="I16" s="15"/>
      <c r="J16" s="15">
        <v>201.48</v>
      </c>
      <c r="K16" s="15">
        <f t="shared" si="1"/>
        <v>201.48</v>
      </c>
      <c r="L16" s="15">
        <f t="shared" si="2"/>
        <v>17799999.379999999</v>
      </c>
      <c r="M16" s="15">
        <f t="shared" si="3"/>
        <v>0.62000000104308128</v>
      </c>
      <c r="N16" s="15"/>
      <c r="O16" s="15">
        <f t="shared" si="4"/>
        <v>14700000</v>
      </c>
      <c r="P16" s="15">
        <f t="shared" si="5"/>
        <v>0.62000000104308128</v>
      </c>
      <c r="Q16" s="15"/>
      <c r="R16" s="15"/>
      <c r="S16" s="15">
        <f t="shared" si="6"/>
        <v>0</v>
      </c>
      <c r="T16" s="7">
        <f t="shared" si="7"/>
        <v>0</v>
      </c>
      <c r="U16" s="7">
        <f t="shared" si="8"/>
        <v>0</v>
      </c>
      <c r="V16" s="7">
        <f t="shared" si="9"/>
        <v>0</v>
      </c>
      <c r="W16" s="7"/>
      <c r="X16" s="7"/>
      <c r="Y16" s="6"/>
      <c r="Z16" s="79"/>
      <c r="AA16" s="210" t="s">
        <v>552</v>
      </c>
      <c r="AB16" s="202">
        <v>742000</v>
      </c>
      <c r="AD16" s="15" t="s">
        <v>443</v>
      </c>
      <c r="AE16" s="9"/>
      <c r="AF16" s="9"/>
      <c r="AG16" s="8">
        <v>1</v>
      </c>
    </row>
    <row r="17" spans="1:33" s="8" customFormat="1" x14ac:dyDescent="0.25">
      <c r="A17" s="6">
        <f t="shared" si="10"/>
        <v>12</v>
      </c>
      <c r="B17" s="6">
        <v>1238</v>
      </c>
      <c r="C17" s="14" t="s">
        <v>263</v>
      </c>
      <c r="D17" s="15">
        <v>32940000</v>
      </c>
      <c r="E17" s="15">
        <v>32940000</v>
      </c>
      <c r="F17" s="15">
        <f t="shared" si="0"/>
        <v>0</v>
      </c>
      <c r="G17" s="15">
        <v>23940000</v>
      </c>
      <c r="H17" s="15">
        <v>22513329.199999999</v>
      </c>
      <c r="I17" s="15">
        <v>152795.54</v>
      </c>
      <c r="J17" s="15">
        <v>1184.04</v>
      </c>
      <c r="K17" s="15">
        <f t="shared" si="1"/>
        <v>153979.58000000002</v>
      </c>
      <c r="L17" s="15">
        <f t="shared" si="2"/>
        <v>22667308.779999997</v>
      </c>
      <c r="M17" s="15">
        <f t="shared" si="3"/>
        <v>1272691.2200000025</v>
      </c>
      <c r="N17" s="15"/>
      <c r="O17" s="15">
        <f t="shared" si="4"/>
        <v>9000000</v>
      </c>
      <c r="P17" s="15">
        <f t="shared" si="5"/>
        <v>1272691.2200000025</v>
      </c>
      <c r="Q17" s="15"/>
      <c r="R17" s="15"/>
      <c r="S17" s="15">
        <f t="shared" si="6"/>
        <v>0</v>
      </c>
      <c r="T17" s="7">
        <f t="shared" si="7"/>
        <v>0</v>
      </c>
      <c r="U17" s="7">
        <f t="shared" si="8"/>
        <v>0</v>
      </c>
      <c r="V17" s="7">
        <f t="shared" si="9"/>
        <v>0</v>
      </c>
      <c r="W17" s="7"/>
      <c r="X17" s="7"/>
      <c r="Y17" s="6"/>
      <c r="Z17" s="79"/>
      <c r="AA17" s="6" t="s">
        <v>563</v>
      </c>
      <c r="AB17" s="202">
        <v>742000</v>
      </c>
      <c r="AC17" s="8">
        <v>5</v>
      </c>
      <c r="AD17" s="15" t="s">
        <v>445</v>
      </c>
      <c r="AG17" s="8">
        <v>2</v>
      </c>
    </row>
    <row r="18" spans="1:33" s="8" customFormat="1" x14ac:dyDescent="0.25">
      <c r="A18" s="6">
        <f t="shared" si="10"/>
        <v>13</v>
      </c>
      <c r="B18" s="6">
        <v>1298</v>
      </c>
      <c r="C18" s="14" t="s">
        <v>54</v>
      </c>
      <c r="D18" s="15">
        <f>2600000+500000</f>
        <v>3100000</v>
      </c>
      <c r="E18" s="15">
        <v>2600000</v>
      </c>
      <c r="F18" s="15">
        <f t="shared" si="0"/>
        <v>500000</v>
      </c>
      <c r="G18" s="15">
        <v>2250000</v>
      </c>
      <c r="H18" s="15">
        <v>1994967.25</v>
      </c>
      <c r="I18" s="15">
        <v>97829.09</v>
      </c>
      <c r="J18" s="15">
        <v>2634</v>
      </c>
      <c r="K18" s="15">
        <f t="shared" si="1"/>
        <v>100463.09</v>
      </c>
      <c r="L18" s="15">
        <f t="shared" si="2"/>
        <v>2095430.34</v>
      </c>
      <c r="M18" s="15">
        <f t="shared" si="3"/>
        <v>504569.65999999992</v>
      </c>
      <c r="N18" s="15">
        <v>500000</v>
      </c>
      <c r="O18" s="15">
        <f t="shared" si="4"/>
        <v>0</v>
      </c>
      <c r="P18" s="15">
        <f t="shared" si="5"/>
        <v>154569.65999999992</v>
      </c>
      <c r="Q18" s="15"/>
      <c r="R18" s="15">
        <v>350000</v>
      </c>
      <c r="S18" s="15">
        <f t="shared" si="6"/>
        <v>350000</v>
      </c>
      <c r="T18" s="7">
        <f t="shared" si="7"/>
        <v>0</v>
      </c>
      <c r="U18" s="7">
        <f t="shared" si="8"/>
        <v>500000</v>
      </c>
      <c r="V18" s="7">
        <f t="shared" si="9"/>
        <v>500000</v>
      </c>
      <c r="W18" s="7"/>
      <c r="X18" s="7"/>
      <c r="Y18" s="6"/>
      <c r="Z18" s="79"/>
      <c r="AA18" s="211"/>
      <c r="AB18" s="202">
        <v>742000</v>
      </c>
      <c r="AC18" s="8">
        <v>2</v>
      </c>
      <c r="AD18" s="15" t="s">
        <v>443</v>
      </c>
      <c r="AG18" s="8">
        <v>1</v>
      </c>
    </row>
    <row r="19" spans="1:33" s="9" customFormat="1" x14ac:dyDescent="0.25">
      <c r="A19" s="6">
        <f t="shared" si="10"/>
        <v>14</v>
      </c>
      <c r="B19" s="6">
        <v>1312</v>
      </c>
      <c r="C19" s="14" t="s">
        <v>55</v>
      </c>
      <c r="D19" s="15">
        <f>103000000+6000000</f>
        <v>109000000</v>
      </c>
      <c r="E19" s="15">
        <v>103000000</v>
      </c>
      <c r="F19" s="15">
        <f t="shared" si="0"/>
        <v>6000000</v>
      </c>
      <c r="G19" s="15">
        <v>72192531</v>
      </c>
      <c r="H19" s="15">
        <v>22636141.969999999</v>
      </c>
      <c r="I19" s="15">
        <v>722930.81</v>
      </c>
      <c r="J19" s="15">
        <v>3419691.45</v>
      </c>
      <c r="K19" s="15">
        <f t="shared" si="1"/>
        <v>4142622.2600000002</v>
      </c>
      <c r="L19" s="15">
        <f t="shared" si="2"/>
        <v>26778764.23</v>
      </c>
      <c r="M19" s="15">
        <f t="shared" si="3"/>
        <v>60413766.769999996</v>
      </c>
      <c r="N19" s="15">
        <v>21807469</v>
      </c>
      <c r="O19" s="15">
        <f t="shared" si="4"/>
        <v>0</v>
      </c>
      <c r="P19" s="15">
        <f t="shared" si="5"/>
        <v>45413766.769999996</v>
      </c>
      <c r="Q19" s="15">
        <v>15000000</v>
      </c>
      <c r="R19" s="15"/>
      <c r="S19" s="15">
        <f t="shared" si="6"/>
        <v>15000000</v>
      </c>
      <c r="T19" s="7">
        <f t="shared" si="7"/>
        <v>0</v>
      </c>
      <c r="U19" s="7">
        <f t="shared" si="8"/>
        <v>21807469</v>
      </c>
      <c r="V19" s="7">
        <f>U19-Y19-W19-X19</f>
        <v>21807469</v>
      </c>
      <c r="W19" s="7"/>
      <c r="X19" s="7"/>
      <c r="Y19" s="7"/>
      <c r="Z19" s="71"/>
      <c r="AA19" s="210" t="s">
        <v>553</v>
      </c>
      <c r="AB19" s="202">
        <v>930000</v>
      </c>
      <c r="AC19" s="8">
        <v>3</v>
      </c>
      <c r="AD19" s="15" t="s">
        <v>443</v>
      </c>
      <c r="AE19" s="8">
        <v>6</v>
      </c>
      <c r="AF19" s="8">
        <v>4</v>
      </c>
      <c r="AG19" s="8">
        <v>1</v>
      </c>
    </row>
    <row r="20" spans="1:33" s="9" customFormat="1" x14ac:dyDescent="0.25">
      <c r="A20" s="6">
        <f t="shared" si="10"/>
        <v>15</v>
      </c>
      <c r="B20" s="6">
        <v>1331</v>
      </c>
      <c r="C20" s="14" t="s">
        <v>264</v>
      </c>
      <c r="D20" s="15">
        <v>3000000</v>
      </c>
      <c r="E20" s="15">
        <v>3000000</v>
      </c>
      <c r="F20" s="15">
        <f t="shared" si="0"/>
        <v>0</v>
      </c>
      <c r="G20" s="15">
        <v>3000000</v>
      </c>
      <c r="H20" s="15">
        <v>2027897</v>
      </c>
      <c r="I20" s="15">
        <v>952299.85</v>
      </c>
      <c r="J20" s="15">
        <v>4701.12</v>
      </c>
      <c r="K20" s="15">
        <f t="shared" si="1"/>
        <v>957000.97</v>
      </c>
      <c r="L20" s="15">
        <f t="shared" si="2"/>
        <v>2984897.9699999997</v>
      </c>
      <c r="M20" s="15">
        <f t="shared" si="3"/>
        <v>15102.030000000261</v>
      </c>
      <c r="N20" s="15"/>
      <c r="O20" s="15">
        <f t="shared" si="4"/>
        <v>0</v>
      </c>
      <c r="P20" s="15">
        <f t="shared" si="5"/>
        <v>15102.030000000261</v>
      </c>
      <c r="Q20" s="15"/>
      <c r="R20" s="15"/>
      <c r="S20" s="15">
        <f t="shared" si="6"/>
        <v>0</v>
      </c>
      <c r="T20" s="7">
        <f t="shared" si="7"/>
        <v>0</v>
      </c>
      <c r="U20" s="7">
        <f t="shared" si="8"/>
        <v>0</v>
      </c>
      <c r="V20" s="7">
        <f t="shared" ref="V20:V27" si="11">U20-W20-X20-Y20</f>
        <v>0</v>
      </c>
      <c r="W20" s="7"/>
      <c r="X20" s="7"/>
      <c r="Y20" s="6"/>
      <c r="Z20" s="79"/>
      <c r="AA20" s="6"/>
      <c r="AB20" s="202">
        <v>742000</v>
      </c>
      <c r="AC20" s="8">
        <v>6</v>
      </c>
      <c r="AD20" s="15"/>
      <c r="AE20" s="8"/>
      <c r="AF20" s="8"/>
      <c r="AG20" s="9">
        <v>3</v>
      </c>
    </row>
    <row r="21" spans="1:33" s="9" customFormat="1" x14ac:dyDescent="0.25">
      <c r="A21" s="6">
        <f t="shared" si="10"/>
        <v>16</v>
      </c>
      <c r="B21" s="6">
        <v>1356</v>
      </c>
      <c r="C21" s="14" t="s">
        <v>265</v>
      </c>
      <c r="D21" s="15">
        <v>2500000</v>
      </c>
      <c r="E21" s="15">
        <v>2500000</v>
      </c>
      <c r="F21" s="15">
        <f t="shared" si="0"/>
        <v>0</v>
      </c>
      <c r="G21" s="15">
        <v>2500000</v>
      </c>
      <c r="H21" s="15">
        <v>1867152.8</v>
      </c>
      <c r="I21" s="15">
        <v>630621.84</v>
      </c>
      <c r="J21" s="15"/>
      <c r="K21" s="15">
        <f t="shared" si="1"/>
        <v>630621.84</v>
      </c>
      <c r="L21" s="15">
        <f t="shared" si="2"/>
        <v>2497774.64</v>
      </c>
      <c r="M21" s="15">
        <f t="shared" si="3"/>
        <v>2225.3599999998696</v>
      </c>
      <c r="N21" s="15"/>
      <c r="O21" s="15">
        <f t="shared" si="4"/>
        <v>0</v>
      </c>
      <c r="P21" s="15">
        <f t="shared" si="5"/>
        <v>2225.3599999998696</v>
      </c>
      <c r="Q21" s="15"/>
      <c r="R21" s="15"/>
      <c r="S21" s="15">
        <f t="shared" si="6"/>
        <v>0</v>
      </c>
      <c r="T21" s="7">
        <f t="shared" si="7"/>
        <v>0</v>
      </c>
      <c r="U21" s="7">
        <f t="shared" si="8"/>
        <v>0</v>
      </c>
      <c r="V21" s="7">
        <f t="shared" si="11"/>
        <v>0</v>
      </c>
      <c r="W21" s="7"/>
      <c r="X21" s="7"/>
      <c r="Y21" s="6"/>
      <c r="Z21" s="79"/>
      <c r="AA21" s="6"/>
      <c r="AB21" s="202">
        <v>742000</v>
      </c>
      <c r="AC21" s="8">
        <v>6</v>
      </c>
      <c r="AD21" s="15"/>
      <c r="AG21" s="9">
        <v>3</v>
      </c>
    </row>
    <row r="22" spans="1:33" s="8" customFormat="1" x14ac:dyDescent="0.25">
      <c r="A22" s="6">
        <f t="shared" si="10"/>
        <v>17</v>
      </c>
      <c r="B22" s="6">
        <v>1361</v>
      </c>
      <c r="C22" s="14" t="s">
        <v>266</v>
      </c>
      <c r="D22" s="15">
        <v>7700000</v>
      </c>
      <c r="E22" s="15">
        <v>7700000</v>
      </c>
      <c r="F22" s="15">
        <f t="shared" si="0"/>
        <v>0</v>
      </c>
      <c r="G22" s="15">
        <v>850000</v>
      </c>
      <c r="H22" s="15">
        <v>753059.96</v>
      </c>
      <c r="I22" s="15"/>
      <c r="J22" s="15"/>
      <c r="K22" s="15">
        <f t="shared" si="1"/>
        <v>0</v>
      </c>
      <c r="L22" s="15">
        <f t="shared" si="2"/>
        <v>753059.96</v>
      </c>
      <c r="M22" s="15">
        <f t="shared" si="3"/>
        <v>96940.040000000037</v>
      </c>
      <c r="N22" s="15"/>
      <c r="O22" s="15">
        <f t="shared" si="4"/>
        <v>6850000</v>
      </c>
      <c r="P22" s="15">
        <f t="shared" si="5"/>
        <v>96940.040000000037</v>
      </c>
      <c r="Q22" s="15"/>
      <c r="R22" s="15"/>
      <c r="S22" s="15">
        <f t="shared" si="6"/>
        <v>0</v>
      </c>
      <c r="T22" s="7">
        <f t="shared" si="7"/>
        <v>0</v>
      </c>
      <c r="U22" s="7">
        <f t="shared" si="8"/>
        <v>0</v>
      </c>
      <c r="V22" s="7">
        <f t="shared" si="11"/>
        <v>0</v>
      </c>
      <c r="W22" s="7"/>
      <c r="X22" s="7"/>
      <c r="Y22" s="6"/>
      <c r="Z22" s="79"/>
      <c r="AA22" s="6"/>
      <c r="AB22" s="202">
        <v>742000</v>
      </c>
      <c r="AC22" s="8">
        <v>5</v>
      </c>
      <c r="AD22" s="15"/>
      <c r="AG22" s="9">
        <v>3</v>
      </c>
    </row>
    <row r="23" spans="1:33" s="9" customFormat="1" x14ac:dyDescent="0.25">
      <c r="A23" s="6">
        <f t="shared" si="10"/>
        <v>18</v>
      </c>
      <c r="B23" s="6">
        <v>1375</v>
      </c>
      <c r="C23" s="14" t="s">
        <v>267</v>
      </c>
      <c r="D23" s="15">
        <f>25950000+1000000</f>
        <v>26950000</v>
      </c>
      <c r="E23" s="15">
        <v>25950000</v>
      </c>
      <c r="F23" s="15">
        <f t="shared" si="0"/>
        <v>1000000</v>
      </c>
      <c r="G23" s="15">
        <f>24900000+500000</f>
        <v>25400000</v>
      </c>
      <c r="H23" s="15">
        <v>23998378.710000001</v>
      </c>
      <c r="I23" s="15">
        <v>391758.49</v>
      </c>
      <c r="J23" s="15"/>
      <c r="K23" s="15">
        <f t="shared" si="1"/>
        <v>391758.49</v>
      </c>
      <c r="L23" s="15">
        <f t="shared" si="2"/>
        <v>24390137.199999999</v>
      </c>
      <c r="M23" s="15">
        <f t="shared" si="3"/>
        <v>2159862.8000000007</v>
      </c>
      <c r="N23" s="15">
        <v>400000</v>
      </c>
      <c r="O23" s="15">
        <f t="shared" si="4"/>
        <v>0</v>
      </c>
      <c r="P23" s="15">
        <f t="shared" si="5"/>
        <v>1009862.8000000007</v>
      </c>
      <c r="Q23" s="15">
        <f>550000</f>
        <v>550000</v>
      </c>
      <c r="R23" s="15">
        <v>600000</v>
      </c>
      <c r="S23" s="15">
        <f t="shared" si="6"/>
        <v>1150000</v>
      </c>
      <c r="T23" s="7">
        <f t="shared" si="7"/>
        <v>0</v>
      </c>
      <c r="U23" s="7">
        <f t="shared" si="8"/>
        <v>400000</v>
      </c>
      <c r="V23" s="7">
        <f t="shared" si="11"/>
        <v>400000</v>
      </c>
      <c r="W23" s="7"/>
      <c r="X23" s="7"/>
      <c r="Y23" s="6"/>
      <c r="Z23" s="79"/>
      <c r="AA23" s="210" t="s">
        <v>554</v>
      </c>
      <c r="AB23" s="202">
        <v>747000</v>
      </c>
      <c r="AC23" s="8">
        <v>5</v>
      </c>
      <c r="AD23" s="15" t="s">
        <v>443</v>
      </c>
      <c r="AE23" s="8"/>
      <c r="AF23" s="8"/>
      <c r="AG23" s="8">
        <v>1</v>
      </c>
    </row>
    <row r="24" spans="1:33" s="8" customFormat="1" ht="27.6" x14ac:dyDescent="0.25">
      <c r="A24" s="6">
        <f t="shared" si="10"/>
        <v>19</v>
      </c>
      <c r="B24" s="6">
        <v>1396</v>
      </c>
      <c r="C24" s="14" t="s">
        <v>603</v>
      </c>
      <c r="D24" s="15">
        <v>10500000</v>
      </c>
      <c r="E24" s="15">
        <v>10500000</v>
      </c>
      <c r="F24" s="15">
        <f t="shared" si="0"/>
        <v>0</v>
      </c>
      <c r="G24" s="15">
        <v>2930000</v>
      </c>
      <c r="H24" s="15">
        <v>2745257.41</v>
      </c>
      <c r="I24" s="15">
        <v>2404.91</v>
      </c>
      <c r="J24" s="15"/>
      <c r="K24" s="15">
        <f t="shared" si="1"/>
        <v>2404.91</v>
      </c>
      <c r="L24" s="15">
        <f t="shared" si="2"/>
        <v>2747662.3200000003</v>
      </c>
      <c r="M24" s="15">
        <f t="shared" si="3"/>
        <v>532337.6799999997</v>
      </c>
      <c r="N24" s="15">
        <v>3000000</v>
      </c>
      <c r="O24" s="15">
        <f t="shared" si="4"/>
        <v>4220000</v>
      </c>
      <c r="P24" s="15">
        <f t="shared" si="5"/>
        <v>182337.6799999997</v>
      </c>
      <c r="Q24" s="15"/>
      <c r="R24" s="15">
        <v>350000</v>
      </c>
      <c r="S24" s="15">
        <f t="shared" si="6"/>
        <v>350000</v>
      </c>
      <c r="T24" s="7">
        <f t="shared" si="7"/>
        <v>0</v>
      </c>
      <c r="U24" s="7">
        <f t="shared" si="8"/>
        <v>3000000</v>
      </c>
      <c r="V24" s="7">
        <f t="shared" si="11"/>
        <v>3000000</v>
      </c>
      <c r="W24" s="7"/>
      <c r="X24" s="7"/>
      <c r="Y24" s="6"/>
      <c r="Z24" s="79"/>
      <c r="AA24" s="210" t="s">
        <v>555</v>
      </c>
      <c r="AB24" s="202">
        <v>826000</v>
      </c>
      <c r="AC24" s="59">
        <v>5</v>
      </c>
      <c r="AD24" s="15" t="s">
        <v>443</v>
      </c>
      <c r="AG24" s="8">
        <v>1</v>
      </c>
    </row>
    <row r="25" spans="1:33" s="8" customFormat="1" x14ac:dyDescent="0.25">
      <c r="A25" s="6">
        <f t="shared" si="10"/>
        <v>20</v>
      </c>
      <c r="B25" s="6">
        <v>1402</v>
      </c>
      <c r="C25" s="14" t="s">
        <v>268</v>
      </c>
      <c r="D25" s="15">
        <v>5700000</v>
      </c>
      <c r="E25" s="15">
        <v>5700000</v>
      </c>
      <c r="F25" s="15">
        <f t="shared" si="0"/>
        <v>0</v>
      </c>
      <c r="G25" s="15">
        <f>1700000+500000</f>
        <v>2200000</v>
      </c>
      <c r="H25" s="15">
        <v>884231.62</v>
      </c>
      <c r="I25" s="15">
        <v>253171.18</v>
      </c>
      <c r="J25" s="15"/>
      <c r="K25" s="15">
        <f t="shared" si="1"/>
        <v>253171.18</v>
      </c>
      <c r="L25" s="15">
        <f t="shared" si="2"/>
        <v>1137402.8</v>
      </c>
      <c r="M25" s="15">
        <f t="shared" si="3"/>
        <v>4562597.2</v>
      </c>
      <c r="N25" s="15"/>
      <c r="O25" s="15">
        <f t="shared" si="4"/>
        <v>0</v>
      </c>
      <c r="P25" s="15">
        <f t="shared" si="5"/>
        <v>1062597.2</v>
      </c>
      <c r="Q25" s="15">
        <v>3500000</v>
      </c>
      <c r="R25" s="15"/>
      <c r="S25" s="15">
        <f t="shared" si="6"/>
        <v>3500000</v>
      </c>
      <c r="T25" s="7">
        <f t="shared" si="7"/>
        <v>0</v>
      </c>
      <c r="U25" s="7">
        <f t="shared" si="8"/>
        <v>0</v>
      </c>
      <c r="V25" s="7">
        <f t="shared" si="11"/>
        <v>0</v>
      </c>
      <c r="W25" s="7"/>
      <c r="X25" s="7"/>
      <c r="Y25" s="6"/>
      <c r="Z25" s="79"/>
      <c r="AA25" s="6"/>
      <c r="AB25" s="202">
        <v>714000</v>
      </c>
      <c r="AC25" s="8">
        <v>4</v>
      </c>
      <c r="AD25" s="15"/>
      <c r="AG25" s="8">
        <v>3</v>
      </c>
    </row>
    <row r="26" spans="1:33" s="8" customFormat="1" ht="15.6" x14ac:dyDescent="0.25">
      <c r="A26" s="6">
        <f t="shared" si="10"/>
        <v>21</v>
      </c>
      <c r="B26" s="6">
        <v>1403</v>
      </c>
      <c r="C26" s="14" t="s">
        <v>269</v>
      </c>
      <c r="D26" s="117">
        <f>20000000+6050000</f>
        <v>26050000</v>
      </c>
      <c r="E26" s="15">
        <v>20000000</v>
      </c>
      <c r="F26" s="15">
        <f t="shared" si="0"/>
        <v>6050000</v>
      </c>
      <c r="G26" s="15">
        <v>2050000</v>
      </c>
      <c r="H26" s="15">
        <v>1462191.86</v>
      </c>
      <c r="I26" s="15">
        <v>2906.4</v>
      </c>
      <c r="J26" s="15"/>
      <c r="K26" s="15">
        <f t="shared" si="1"/>
        <v>2906.4</v>
      </c>
      <c r="L26" s="15">
        <f t="shared" si="2"/>
        <v>1465098.26</v>
      </c>
      <c r="M26" s="15">
        <f t="shared" si="3"/>
        <v>584901.74</v>
      </c>
      <c r="N26" s="15">
        <f>24000000/2</f>
        <v>12000000</v>
      </c>
      <c r="O26" s="15">
        <f t="shared" si="4"/>
        <v>12000000</v>
      </c>
      <c r="P26" s="15">
        <f t="shared" si="5"/>
        <v>584901.74</v>
      </c>
      <c r="Q26" s="15"/>
      <c r="R26" s="15"/>
      <c r="S26" s="15">
        <f t="shared" si="6"/>
        <v>0</v>
      </c>
      <c r="T26" s="7">
        <f t="shared" si="7"/>
        <v>0</v>
      </c>
      <c r="U26" s="7">
        <f t="shared" si="8"/>
        <v>12000000</v>
      </c>
      <c r="V26" s="7">
        <f t="shared" si="11"/>
        <v>12000000</v>
      </c>
      <c r="W26" s="65"/>
      <c r="X26" s="65"/>
      <c r="Y26" s="64"/>
      <c r="Z26" s="73"/>
      <c r="AA26" s="64" t="s">
        <v>564</v>
      </c>
      <c r="AB26" s="204">
        <v>826000</v>
      </c>
      <c r="AC26" s="87">
        <v>5</v>
      </c>
      <c r="AD26" s="15" t="s">
        <v>445</v>
      </c>
      <c r="AF26" s="8">
        <v>5</v>
      </c>
    </row>
    <row r="27" spans="1:33" s="8" customFormat="1" x14ac:dyDescent="0.25">
      <c r="A27" s="6">
        <f t="shared" si="10"/>
        <v>22</v>
      </c>
      <c r="B27" s="14">
        <v>1443</v>
      </c>
      <c r="C27" s="14" t="s">
        <v>270</v>
      </c>
      <c r="D27" s="15">
        <v>78500000</v>
      </c>
      <c r="E27" s="15">
        <v>54250000</v>
      </c>
      <c r="F27" s="15">
        <f t="shared" si="0"/>
        <v>24250000</v>
      </c>
      <c r="G27" s="15">
        <v>50840000</v>
      </c>
      <c r="H27" s="15">
        <v>50764477</v>
      </c>
      <c r="I27" s="15">
        <v>74392.649999999994</v>
      </c>
      <c r="J27" s="15"/>
      <c r="K27" s="15">
        <f t="shared" si="1"/>
        <v>74392.649999999994</v>
      </c>
      <c r="L27" s="15">
        <f t="shared" si="2"/>
        <v>50838869.649999999</v>
      </c>
      <c r="M27" s="15">
        <f t="shared" si="3"/>
        <v>1130.3500000014901</v>
      </c>
      <c r="N27" s="15">
        <v>27660000</v>
      </c>
      <c r="O27" s="15">
        <f t="shared" si="4"/>
        <v>0</v>
      </c>
      <c r="P27" s="15">
        <f t="shared" si="5"/>
        <v>1130.3500000014901</v>
      </c>
      <c r="Q27" s="15"/>
      <c r="R27" s="15"/>
      <c r="S27" s="15">
        <f t="shared" si="6"/>
        <v>0</v>
      </c>
      <c r="T27" s="7">
        <f t="shared" si="7"/>
        <v>0</v>
      </c>
      <c r="U27" s="7">
        <f t="shared" si="8"/>
        <v>27660000</v>
      </c>
      <c r="V27" s="7">
        <f t="shared" si="11"/>
        <v>0</v>
      </c>
      <c r="W27" s="7"/>
      <c r="X27" s="7"/>
      <c r="Y27" s="7">
        <v>27660000</v>
      </c>
      <c r="Z27" s="79"/>
      <c r="AA27" s="210"/>
      <c r="AB27" s="202">
        <v>749000</v>
      </c>
      <c r="AC27" s="8">
        <v>5</v>
      </c>
      <c r="AD27" s="15" t="s">
        <v>443</v>
      </c>
      <c r="AG27" s="8">
        <v>1</v>
      </c>
    </row>
    <row r="28" spans="1:33" s="8" customFormat="1" x14ac:dyDescent="0.25">
      <c r="A28" s="6">
        <f t="shared" si="10"/>
        <v>23</v>
      </c>
      <c r="B28" s="6">
        <v>1446</v>
      </c>
      <c r="C28" s="14" t="s">
        <v>59</v>
      </c>
      <c r="D28" s="15">
        <v>14250000</v>
      </c>
      <c r="E28" s="15">
        <v>14250000</v>
      </c>
      <c r="F28" s="15">
        <f t="shared" si="0"/>
        <v>0</v>
      </c>
      <c r="G28" s="15">
        <v>1000000</v>
      </c>
      <c r="H28" s="15">
        <v>752784.42</v>
      </c>
      <c r="I28" s="15">
        <v>203291.04</v>
      </c>
      <c r="J28" s="15">
        <v>1.1599999999999999</v>
      </c>
      <c r="K28" s="15">
        <f t="shared" si="1"/>
        <v>203292.2</v>
      </c>
      <c r="L28" s="15">
        <f t="shared" si="2"/>
        <v>956076.62000000011</v>
      </c>
      <c r="M28" s="15">
        <f t="shared" si="3"/>
        <v>4043923.38</v>
      </c>
      <c r="N28" s="15"/>
      <c r="O28" s="15">
        <f t="shared" si="4"/>
        <v>9250000</v>
      </c>
      <c r="P28" s="15">
        <f t="shared" si="5"/>
        <v>43923.379999999888</v>
      </c>
      <c r="Q28" s="15">
        <v>4000000</v>
      </c>
      <c r="R28" s="15"/>
      <c r="S28" s="15">
        <f t="shared" si="6"/>
        <v>4000000</v>
      </c>
      <c r="T28" s="7">
        <f t="shared" si="7"/>
        <v>0</v>
      </c>
      <c r="U28" s="7">
        <f t="shared" si="8"/>
        <v>0</v>
      </c>
      <c r="V28" s="7">
        <f>U28-Y28-W28-X28</f>
        <v>0</v>
      </c>
      <c r="W28" s="7"/>
      <c r="X28" s="7"/>
      <c r="Y28" s="7"/>
      <c r="Z28" s="71"/>
      <c r="AA28" s="3"/>
      <c r="AB28" s="202">
        <v>742000</v>
      </c>
      <c r="AC28" s="8">
        <v>3</v>
      </c>
      <c r="AD28" s="15"/>
      <c r="AE28" s="8">
        <v>9</v>
      </c>
      <c r="AF28" s="8">
        <v>4</v>
      </c>
      <c r="AG28" s="9"/>
    </row>
    <row r="29" spans="1:33" s="8" customFormat="1" x14ac:dyDescent="0.25">
      <c r="A29" s="6">
        <f t="shared" si="10"/>
        <v>24</v>
      </c>
      <c r="B29" s="14">
        <v>1448</v>
      </c>
      <c r="C29" s="14" t="s">
        <v>271</v>
      </c>
      <c r="D29" s="15">
        <f>5652877+350000-2123</f>
        <v>6000754</v>
      </c>
      <c r="E29" s="15">
        <v>5652877</v>
      </c>
      <c r="F29" s="15">
        <f t="shared" si="0"/>
        <v>347877</v>
      </c>
      <c r="G29" s="15">
        <v>5650754</v>
      </c>
      <c r="H29" s="15">
        <v>4883510</v>
      </c>
      <c r="I29" s="15">
        <v>563100.73</v>
      </c>
      <c r="J29" s="15"/>
      <c r="K29" s="15">
        <f t="shared" si="1"/>
        <v>563100.73</v>
      </c>
      <c r="L29" s="15">
        <f t="shared" si="2"/>
        <v>5446610.7300000004</v>
      </c>
      <c r="M29" s="15">
        <f t="shared" si="3"/>
        <v>554143.26999999955</v>
      </c>
      <c r="N29" s="15"/>
      <c r="O29" s="15">
        <f t="shared" si="4"/>
        <v>0</v>
      </c>
      <c r="P29" s="15">
        <f t="shared" si="5"/>
        <v>204143.26999999955</v>
      </c>
      <c r="Q29" s="15"/>
      <c r="R29" s="15">
        <v>350000</v>
      </c>
      <c r="S29" s="15">
        <f t="shared" si="6"/>
        <v>350000</v>
      </c>
      <c r="T29" s="7">
        <f t="shared" si="7"/>
        <v>0</v>
      </c>
      <c r="U29" s="7">
        <f t="shared" si="8"/>
        <v>0</v>
      </c>
      <c r="V29" s="7">
        <f>U29-W29-X29-Y29</f>
        <v>0</v>
      </c>
      <c r="W29" s="7"/>
      <c r="X29" s="7"/>
      <c r="Y29" s="7"/>
      <c r="Z29" s="79"/>
      <c r="AA29" s="6"/>
      <c r="AB29" s="202">
        <v>850000</v>
      </c>
      <c r="AC29" s="8">
        <v>6</v>
      </c>
      <c r="AD29" s="15"/>
      <c r="AG29" s="8">
        <v>3</v>
      </c>
    </row>
    <row r="30" spans="1:33" s="8" customFormat="1" x14ac:dyDescent="0.25">
      <c r="A30" s="6">
        <f t="shared" si="10"/>
        <v>25</v>
      </c>
      <c r="B30" s="14">
        <v>1455</v>
      </c>
      <c r="C30" s="14" t="s">
        <v>60</v>
      </c>
      <c r="D30" s="15">
        <v>4500000</v>
      </c>
      <c r="E30" s="15">
        <v>4500000</v>
      </c>
      <c r="F30" s="15">
        <f t="shared" si="0"/>
        <v>0</v>
      </c>
      <c r="G30" s="15">
        <v>400000</v>
      </c>
      <c r="H30" s="15">
        <v>174061.7</v>
      </c>
      <c r="I30" s="15">
        <v>28954.639999999999</v>
      </c>
      <c r="J30" s="15"/>
      <c r="K30" s="15">
        <f t="shared" si="1"/>
        <v>28954.639999999999</v>
      </c>
      <c r="L30" s="15">
        <f t="shared" si="2"/>
        <v>203016.34000000003</v>
      </c>
      <c r="M30" s="15">
        <f t="shared" si="3"/>
        <v>4296983.66</v>
      </c>
      <c r="N30" s="15"/>
      <c r="O30" s="15">
        <f t="shared" si="4"/>
        <v>0</v>
      </c>
      <c r="P30" s="15">
        <f t="shared" si="5"/>
        <v>196983.65999999997</v>
      </c>
      <c r="Q30" s="15">
        <v>4100000</v>
      </c>
      <c r="R30" s="15"/>
      <c r="S30" s="15">
        <f t="shared" si="6"/>
        <v>4100000</v>
      </c>
      <c r="T30" s="7">
        <f t="shared" si="7"/>
        <v>0</v>
      </c>
      <c r="U30" s="7">
        <f t="shared" si="8"/>
        <v>0</v>
      </c>
      <c r="V30" s="7">
        <f>U30-Y30-W30-X30</f>
        <v>0</v>
      </c>
      <c r="W30" s="7"/>
      <c r="X30" s="7"/>
      <c r="Y30" s="7"/>
      <c r="Z30" s="71"/>
      <c r="AA30" s="6"/>
      <c r="AB30" s="202">
        <v>742000</v>
      </c>
      <c r="AC30" s="8">
        <v>3</v>
      </c>
      <c r="AD30" s="15"/>
      <c r="AE30" s="8">
        <v>9</v>
      </c>
      <c r="AF30" s="8">
        <v>4</v>
      </c>
      <c r="AG30" s="9"/>
    </row>
    <row r="31" spans="1:33" s="8" customFormat="1" x14ac:dyDescent="0.25">
      <c r="A31" s="6">
        <f t="shared" si="10"/>
        <v>26</v>
      </c>
      <c r="B31" s="14">
        <v>1469</v>
      </c>
      <c r="C31" s="14" t="s">
        <v>272</v>
      </c>
      <c r="D31" s="15">
        <v>2500000</v>
      </c>
      <c r="E31" s="15">
        <v>2500000</v>
      </c>
      <c r="F31" s="15">
        <f t="shared" si="0"/>
        <v>0</v>
      </c>
      <c r="G31" s="15">
        <v>2500000</v>
      </c>
      <c r="H31" s="15">
        <v>1073468.24</v>
      </c>
      <c r="I31" s="15">
        <v>1415298.5</v>
      </c>
      <c r="J31" s="15"/>
      <c r="K31" s="15">
        <f t="shared" si="1"/>
        <v>1415298.5</v>
      </c>
      <c r="L31" s="15">
        <f t="shared" si="2"/>
        <v>2488766.7400000002</v>
      </c>
      <c r="M31" s="15">
        <f t="shared" si="3"/>
        <v>11233.259999999776</v>
      </c>
      <c r="N31" s="15"/>
      <c r="O31" s="15">
        <f t="shared" si="4"/>
        <v>0</v>
      </c>
      <c r="P31" s="15">
        <f t="shared" si="5"/>
        <v>11233.259999999776</v>
      </c>
      <c r="Q31" s="15"/>
      <c r="R31" s="15"/>
      <c r="S31" s="15">
        <f t="shared" si="6"/>
        <v>0</v>
      </c>
      <c r="T31" s="7">
        <f t="shared" si="7"/>
        <v>0</v>
      </c>
      <c r="U31" s="7">
        <f t="shared" si="8"/>
        <v>0</v>
      </c>
      <c r="V31" s="7">
        <f t="shared" ref="V31:V36" si="12">U31-W31-X31-Y31</f>
        <v>0</v>
      </c>
      <c r="W31" s="7"/>
      <c r="X31" s="7"/>
      <c r="Y31" s="6"/>
      <c r="Z31" s="79"/>
      <c r="AA31" s="6"/>
      <c r="AB31" s="202">
        <v>742000</v>
      </c>
      <c r="AC31" s="8">
        <v>6</v>
      </c>
      <c r="AD31" s="15"/>
      <c r="AG31" s="8">
        <v>3</v>
      </c>
    </row>
    <row r="32" spans="1:33" s="8" customFormat="1" x14ac:dyDescent="0.25">
      <c r="A32" s="6">
        <f t="shared" si="10"/>
        <v>27</v>
      </c>
      <c r="B32" s="14">
        <v>1552</v>
      </c>
      <c r="C32" s="14" t="s">
        <v>273</v>
      </c>
      <c r="D32" s="15">
        <v>6000000</v>
      </c>
      <c r="E32" s="15">
        <v>6000000</v>
      </c>
      <c r="F32" s="15">
        <f t="shared" si="0"/>
        <v>0</v>
      </c>
      <c r="G32" s="15">
        <v>0</v>
      </c>
      <c r="H32" s="15">
        <v>0</v>
      </c>
      <c r="I32" s="15"/>
      <c r="J32" s="15"/>
      <c r="K32" s="15">
        <f t="shared" si="1"/>
        <v>0</v>
      </c>
      <c r="L32" s="15">
        <f t="shared" si="2"/>
        <v>0</v>
      </c>
      <c r="M32" s="15">
        <f t="shared" si="3"/>
        <v>0</v>
      </c>
      <c r="N32" s="15"/>
      <c r="O32" s="15">
        <f t="shared" si="4"/>
        <v>6000000</v>
      </c>
      <c r="P32" s="15">
        <f t="shared" si="5"/>
        <v>0</v>
      </c>
      <c r="Q32" s="15"/>
      <c r="R32" s="15"/>
      <c r="S32" s="15">
        <f t="shared" si="6"/>
        <v>0</v>
      </c>
      <c r="T32" s="7">
        <f t="shared" si="7"/>
        <v>0</v>
      </c>
      <c r="U32" s="7">
        <f t="shared" si="8"/>
        <v>0</v>
      </c>
      <c r="V32" s="7">
        <f t="shared" si="12"/>
        <v>0</v>
      </c>
      <c r="W32" s="7"/>
      <c r="X32" s="7"/>
      <c r="Y32" s="6"/>
      <c r="Z32" s="79"/>
      <c r="AA32" s="6"/>
      <c r="AB32" s="202">
        <v>749000</v>
      </c>
      <c r="AC32" s="8">
        <v>3</v>
      </c>
      <c r="AD32" s="15"/>
      <c r="AE32" s="9"/>
      <c r="AF32" s="9"/>
      <c r="AG32" s="8">
        <v>3</v>
      </c>
    </row>
    <row r="33" spans="1:33" s="8" customFormat="1" x14ac:dyDescent="0.25">
      <c r="A33" s="6">
        <f t="shared" si="10"/>
        <v>28</v>
      </c>
      <c r="B33" s="14">
        <v>1553</v>
      </c>
      <c r="C33" s="14" t="s">
        <v>274</v>
      </c>
      <c r="D33" s="15">
        <v>3800000</v>
      </c>
      <c r="E33" s="15">
        <v>3800000</v>
      </c>
      <c r="F33" s="15">
        <f t="shared" si="0"/>
        <v>0</v>
      </c>
      <c r="G33" s="15">
        <v>0</v>
      </c>
      <c r="H33" s="15">
        <v>0</v>
      </c>
      <c r="I33" s="15"/>
      <c r="J33" s="15"/>
      <c r="K33" s="15">
        <f t="shared" si="1"/>
        <v>0</v>
      </c>
      <c r="L33" s="15">
        <f t="shared" si="2"/>
        <v>0</v>
      </c>
      <c r="M33" s="15">
        <f t="shared" si="3"/>
        <v>0</v>
      </c>
      <c r="N33" s="15"/>
      <c r="O33" s="15">
        <f t="shared" si="4"/>
        <v>3800000</v>
      </c>
      <c r="P33" s="15">
        <f t="shared" si="5"/>
        <v>0</v>
      </c>
      <c r="Q33" s="15"/>
      <c r="R33" s="15"/>
      <c r="S33" s="15">
        <f t="shared" si="6"/>
        <v>0</v>
      </c>
      <c r="T33" s="7">
        <f t="shared" si="7"/>
        <v>0</v>
      </c>
      <c r="U33" s="7">
        <f t="shared" si="8"/>
        <v>0</v>
      </c>
      <c r="V33" s="7">
        <f t="shared" si="12"/>
        <v>0</v>
      </c>
      <c r="W33" s="7"/>
      <c r="X33" s="7"/>
      <c r="Y33" s="6"/>
      <c r="Z33" s="70"/>
      <c r="AA33" s="6"/>
      <c r="AB33" s="202">
        <v>826000</v>
      </c>
      <c r="AC33" s="8">
        <v>5</v>
      </c>
      <c r="AD33" s="15"/>
      <c r="AG33" s="8">
        <v>3</v>
      </c>
    </row>
    <row r="34" spans="1:33" s="8" customFormat="1" x14ac:dyDescent="0.25">
      <c r="A34" s="6">
        <f t="shared" si="10"/>
        <v>29</v>
      </c>
      <c r="B34" s="14">
        <v>1555</v>
      </c>
      <c r="C34" s="14" t="s">
        <v>275</v>
      </c>
      <c r="D34" s="15">
        <v>7500000</v>
      </c>
      <c r="E34" s="15">
        <v>7500000</v>
      </c>
      <c r="F34" s="15">
        <f t="shared" si="0"/>
        <v>0</v>
      </c>
      <c r="G34" s="15">
        <v>4250000</v>
      </c>
      <c r="H34" s="15">
        <v>3638350</v>
      </c>
      <c r="I34" s="15">
        <v>586638.68000000005</v>
      </c>
      <c r="J34" s="15"/>
      <c r="K34" s="15">
        <f t="shared" si="1"/>
        <v>586638.68000000005</v>
      </c>
      <c r="L34" s="15">
        <f t="shared" si="2"/>
        <v>4224988.68</v>
      </c>
      <c r="M34" s="15">
        <f t="shared" si="3"/>
        <v>25011.320000000298</v>
      </c>
      <c r="N34" s="15"/>
      <c r="O34" s="15">
        <f t="shared" si="4"/>
        <v>3250000</v>
      </c>
      <c r="P34" s="15">
        <f t="shared" si="5"/>
        <v>25011.320000000298</v>
      </c>
      <c r="Q34" s="15"/>
      <c r="R34" s="15"/>
      <c r="S34" s="15">
        <f t="shared" si="6"/>
        <v>0</v>
      </c>
      <c r="T34" s="7">
        <f t="shared" si="7"/>
        <v>0</v>
      </c>
      <c r="U34" s="7">
        <f t="shared" si="8"/>
        <v>0</v>
      </c>
      <c r="V34" s="7">
        <f t="shared" si="12"/>
        <v>0</v>
      </c>
      <c r="W34" s="7"/>
      <c r="X34" s="7"/>
      <c r="Y34" s="6"/>
      <c r="Z34" s="79"/>
      <c r="AA34" s="6"/>
      <c r="AB34" s="202">
        <v>828000</v>
      </c>
      <c r="AC34" s="8">
        <v>5</v>
      </c>
      <c r="AD34" s="15"/>
      <c r="AE34" s="9"/>
      <c r="AF34" s="9"/>
      <c r="AG34" s="8">
        <v>3</v>
      </c>
    </row>
    <row r="35" spans="1:33" s="8" customFormat="1" ht="15" customHeight="1" x14ac:dyDescent="0.25">
      <c r="A35" s="6">
        <f t="shared" si="10"/>
        <v>30</v>
      </c>
      <c r="B35" s="14">
        <v>1585</v>
      </c>
      <c r="C35" s="14" t="s">
        <v>276</v>
      </c>
      <c r="D35" s="15">
        <v>15385000</v>
      </c>
      <c r="E35" s="15">
        <v>15385000</v>
      </c>
      <c r="F35" s="15">
        <f t="shared" si="0"/>
        <v>0</v>
      </c>
      <c r="G35" s="15">
        <v>15385000</v>
      </c>
      <c r="H35" s="15">
        <v>15099350.83</v>
      </c>
      <c r="I35" s="15">
        <v>7465.77</v>
      </c>
      <c r="J35" s="15"/>
      <c r="K35" s="15">
        <f t="shared" si="1"/>
        <v>7465.77</v>
      </c>
      <c r="L35" s="15">
        <f t="shared" si="2"/>
        <v>15106816.6</v>
      </c>
      <c r="M35" s="15">
        <f t="shared" si="3"/>
        <v>278183.40000000037</v>
      </c>
      <c r="N35" s="15"/>
      <c r="O35" s="15">
        <f t="shared" si="4"/>
        <v>0</v>
      </c>
      <c r="P35" s="15">
        <f t="shared" si="5"/>
        <v>278183.40000000037</v>
      </c>
      <c r="Q35" s="15"/>
      <c r="R35" s="15"/>
      <c r="S35" s="15">
        <f t="shared" si="6"/>
        <v>0</v>
      </c>
      <c r="T35" s="7">
        <f t="shared" si="7"/>
        <v>0</v>
      </c>
      <c r="U35" s="7">
        <f t="shared" si="8"/>
        <v>0</v>
      </c>
      <c r="V35" s="7">
        <f t="shared" si="12"/>
        <v>0</v>
      </c>
      <c r="W35" s="7"/>
      <c r="X35" s="7"/>
      <c r="Y35" s="6"/>
      <c r="Z35" s="79"/>
      <c r="AA35" s="6"/>
      <c r="AB35" s="202">
        <v>810000</v>
      </c>
      <c r="AC35" s="8">
        <v>6</v>
      </c>
      <c r="AD35" s="15"/>
      <c r="AE35" s="9"/>
      <c r="AF35" s="9"/>
      <c r="AG35" s="8">
        <v>3</v>
      </c>
    </row>
    <row r="36" spans="1:33" s="8" customFormat="1" ht="15" customHeight="1" x14ac:dyDescent="0.25">
      <c r="A36" s="6">
        <f t="shared" si="10"/>
        <v>31</v>
      </c>
      <c r="B36" s="6">
        <v>1616</v>
      </c>
      <c r="C36" s="14" t="s">
        <v>277</v>
      </c>
      <c r="D36" s="15">
        <f>3400000+8350000-8350000</f>
        <v>3400000</v>
      </c>
      <c r="E36" s="15">
        <v>3400000</v>
      </c>
      <c r="F36" s="15">
        <f t="shared" si="0"/>
        <v>0</v>
      </c>
      <c r="G36" s="15">
        <v>350000</v>
      </c>
      <c r="H36" s="15">
        <v>0</v>
      </c>
      <c r="I36" s="15"/>
      <c r="J36" s="15"/>
      <c r="K36" s="15">
        <f t="shared" si="1"/>
        <v>0</v>
      </c>
      <c r="L36" s="15">
        <f t="shared" si="2"/>
        <v>0</v>
      </c>
      <c r="M36" s="15">
        <f t="shared" si="3"/>
        <v>350000</v>
      </c>
      <c r="N36" s="15"/>
      <c r="O36" s="15">
        <f t="shared" si="4"/>
        <v>3050000</v>
      </c>
      <c r="P36" s="15">
        <f t="shared" si="5"/>
        <v>350000</v>
      </c>
      <c r="Q36" s="15"/>
      <c r="R36" s="15"/>
      <c r="S36" s="15">
        <f t="shared" si="6"/>
        <v>0</v>
      </c>
      <c r="T36" s="7">
        <f t="shared" si="7"/>
        <v>0</v>
      </c>
      <c r="U36" s="7">
        <f t="shared" si="8"/>
        <v>0</v>
      </c>
      <c r="V36" s="7">
        <f t="shared" si="12"/>
        <v>0</v>
      </c>
      <c r="W36" s="7"/>
      <c r="X36" s="7"/>
      <c r="Y36" s="6"/>
      <c r="Z36" s="79"/>
      <c r="AA36" s="6" t="s">
        <v>565</v>
      </c>
      <c r="AB36" s="202">
        <v>930000</v>
      </c>
      <c r="AC36" s="59">
        <v>5</v>
      </c>
      <c r="AD36" s="15" t="s">
        <v>443</v>
      </c>
      <c r="AG36" s="8">
        <v>1</v>
      </c>
    </row>
    <row r="37" spans="1:33" s="8" customFormat="1" x14ac:dyDescent="0.25">
      <c r="A37" s="6">
        <f t="shared" si="10"/>
        <v>32</v>
      </c>
      <c r="B37" s="126">
        <v>1625</v>
      </c>
      <c r="C37" s="126" t="s">
        <v>345</v>
      </c>
      <c r="D37" s="127">
        <v>13300000</v>
      </c>
      <c r="E37" s="127">
        <v>13300000</v>
      </c>
      <c r="F37" s="127">
        <f t="shared" ref="F37" si="13">D37-E37</f>
        <v>0</v>
      </c>
      <c r="G37" s="127">
        <v>3700000</v>
      </c>
      <c r="H37" s="127">
        <v>149152</v>
      </c>
      <c r="I37" s="127">
        <v>94413.3</v>
      </c>
      <c r="J37" s="127">
        <v>568170</v>
      </c>
      <c r="K37" s="127">
        <f t="shared" ref="K37" si="14">SUM(I37:J37)</f>
        <v>662583.30000000005</v>
      </c>
      <c r="L37" s="127">
        <f t="shared" ref="L37" si="15">H37+K37</f>
        <v>811735.3</v>
      </c>
      <c r="M37" s="127">
        <f t="shared" ref="M37" si="16">P37+S37</f>
        <v>4313264.7</v>
      </c>
      <c r="N37" s="127">
        <v>4175000</v>
      </c>
      <c r="O37" s="127">
        <f t="shared" ref="O37" si="17">D37-L37-M37-N37</f>
        <v>3999999.9999999991</v>
      </c>
      <c r="P37" s="127">
        <f t="shared" ref="P37" si="18">G37-L37</f>
        <v>2888264.7</v>
      </c>
      <c r="Q37" s="127"/>
      <c r="R37" s="127">
        <v>1425000</v>
      </c>
      <c r="S37" s="127">
        <f t="shared" ref="S37" si="19">SUM(Q37:R37)</f>
        <v>1425000</v>
      </c>
      <c r="T37" s="127">
        <f t="shared" ref="T37" si="20">P37-M37+S37</f>
        <v>0</v>
      </c>
      <c r="U37" s="127">
        <f t="shared" ref="U37" si="21">N37-T37</f>
        <v>4175000</v>
      </c>
      <c r="V37" s="127"/>
      <c r="W37" s="127">
        <f t="shared" ref="W37" si="22">U37-V37-X37-Y37</f>
        <v>575000</v>
      </c>
      <c r="X37" s="127"/>
      <c r="Y37" s="127">
        <v>3600000</v>
      </c>
      <c r="Z37" s="134" t="s">
        <v>494</v>
      </c>
      <c r="AA37" s="126" t="s">
        <v>495</v>
      </c>
      <c r="AB37" s="126">
        <v>829000</v>
      </c>
      <c r="AC37" s="126"/>
      <c r="AD37" s="126"/>
    </row>
    <row r="38" spans="1:33" s="8" customFormat="1" ht="15" customHeight="1" x14ac:dyDescent="0.25">
      <c r="A38" s="6">
        <f t="shared" si="10"/>
        <v>33</v>
      </c>
      <c r="B38" s="6">
        <v>1640</v>
      </c>
      <c r="C38" s="14" t="s">
        <v>617</v>
      </c>
      <c r="D38" s="15">
        <v>5650000</v>
      </c>
      <c r="E38" s="15">
        <v>5650000</v>
      </c>
      <c r="F38" s="15">
        <f t="shared" ref="F38:F54" si="23">D38-E38</f>
        <v>0</v>
      </c>
      <c r="G38" s="15">
        <v>5650000</v>
      </c>
      <c r="H38" s="15">
        <v>5021908</v>
      </c>
      <c r="I38" s="15">
        <v>528366.43999999994</v>
      </c>
      <c r="J38" s="15"/>
      <c r="K38" s="15">
        <f t="shared" ref="K38:K51" si="24">SUM(I38:J38)</f>
        <v>528366.43999999994</v>
      </c>
      <c r="L38" s="15">
        <f t="shared" ref="L38:L52" si="25">H38+K38</f>
        <v>5550274.4399999995</v>
      </c>
      <c r="M38" s="15">
        <f t="shared" ref="M38:M52" si="26">P38+S38</f>
        <v>99725.560000000522</v>
      </c>
      <c r="N38" s="15"/>
      <c r="O38" s="15">
        <f t="shared" ref="O38:O54" si="27">D38-L38-M38-N38</f>
        <v>0</v>
      </c>
      <c r="P38" s="15">
        <f t="shared" ref="P38:P52" si="28">G38-L38</f>
        <v>99725.560000000522</v>
      </c>
      <c r="Q38" s="15"/>
      <c r="R38" s="15"/>
      <c r="S38" s="15">
        <f t="shared" ref="S38:S52" si="29">SUM(Q38:R38)</f>
        <v>0</v>
      </c>
      <c r="T38" s="7">
        <f t="shared" ref="T38:T52" si="30">P38-M38+S38</f>
        <v>0</v>
      </c>
      <c r="U38" s="7">
        <f t="shared" ref="U38:U54" si="31">N38-T38</f>
        <v>0</v>
      </c>
      <c r="V38" s="7">
        <f>U38-W38-X38-Y38</f>
        <v>0</v>
      </c>
      <c r="W38" s="7"/>
      <c r="X38" s="7"/>
      <c r="Y38" s="6"/>
      <c r="Z38" s="79"/>
      <c r="AA38" s="6"/>
      <c r="AB38" s="202">
        <v>760000</v>
      </c>
      <c r="AC38" s="8">
        <v>6</v>
      </c>
      <c r="AD38" s="15"/>
      <c r="AG38" s="8">
        <v>3</v>
      </c>
    </row>
    <row r="39" spans="1:33" s="8" customFormat="1" x14ac:dyDescent="0.25">
      <c r="A39" s="6">
        <f t="shared" si="10"/>
        <v>34</v>
      </c>
      <c r="B39" s="6">
        <v>1649</v>
      </c>
      <c r="C39" s="14" t="s">
        <v>278</v>
      </c>
      <c r="D39" s="15">
        <v>1300000</v>
      </c>
      <c r="E39" s="15">
        <v>1300000</v>
      </c>
      <c r="F39" s="15">
        <f t="shared" si="23"/>
        <v>0</v>
      </c>
      <c r="G39" s="15">
        <v>1300000</v>
      </c>
      <c r="H39" s="15">
        <v>1182602.3</v>
      </c>
      <c r="I39" s="15">
        <v>117173.4</v>
      </c>
      <c r="J39" s="15"/>
      <c r="K39" s="15">
        <f t="shared" si="24"/>
        <v>117173.4</v>
      </c>
      <c r="L39" s="15">
        <f t="shared" si="25"/>
        <v>1299775.7</v>
      </c>
      <c r="M39" s="15">
        <f t="shared" si="26"/>
        <v>224.30000000004657</v>
      </c>
      <c r="N39" s="15"/>
      <c r="O39" s="15">
        <f t="shared" si="27"/>
        <v>0</v>
      </c>
      <c r="P39" s="15">
        <f t="shared" si="28"/>
        <v>224.30000000004657</v>
      </c>
      <c r="Q39" s="15"/>
      <c r="R39" s="15"/>
      <c r="S39" s="15">
        <f t="shared" si="29"/>
        <v>0</v>
      </c>
      <c r="T39" s="7">
        <f t="shared" si="30"/>
        <v>0</v>
      </c>
      <c r="U39" s="7">
        <f t="shared" si="31"/>
        <v>0</v>
      </c>
      <c r="V39" s="7">
        <f>U39-W39-X39-Y39</f>
        <v>0</v>
      </c>
      <c r="W39" s="7"/>
      <c r="X39" s="7"/>
      <c r="Y39" s="6"/>
      <c r="Z39" s="79"/>
      <c r="AA39" s="6"/>
      <c r="AB39" s="202">
        <v>747000</v>
      </c>
      <c r="AC39" s="8">
        <v>6</v>
      </c>
      <c r="AD39" s="15"/>
      <c r="AG39" s="8">
        <v>3</v>
      </c>
    </row>
    <row r="40" spans="1:33" s="8" customFormat="1" x14ac:dyDescent="0.25">
      <c r="A40" s="6">
        <f t="shared" si="10"/>
        <v>35</v>
      </c>
      <c r="B40" s="6">
        <v>1727</v>
      </c>
      <c r="C40" s="14" t="s">
        <v>101</v>
      </c>
      <c r="D40" s="15">
        <v>400000</v>
      </c>
      <c r="E40" s="15">
        <v>400000</v>
      </c>
      <c r="F40" s="15">
        <f t="shared" si="23"/>
        <v>0</v>
      </c>
      <c r="G40" s="15">
        <v>400000</v>
      </c>
      <c r="H40" s="15">
        <v>0</v>
      </c>
      <c r="I40" s="15">
        <v>178394.72</v>
      </c>
      <c r="J40" s="15"/>
      <c r="K40" s="15">
        <f t="shared" si="24"/>
        <v>178394.72</v>
      </c>
      <c r="L40" s="15">
        <f t="shared" si="25"/>
        <v>178394.72</v>
      </c>
      <c r="M40" s="15">
        <f t="shared" si="26"/>
        <v>221605.28</v>
      </c>
      <c r="N40" s="15"/>
      <c r="O40" s="15">
        <f t="shared" si="27"/>
        <v>0</v>
      </c>
      <c r="P40" s="15">
        <f t="shared" si="28"/>
        <v>221605.28</v>
      </c>
      <c r="Q40" s="15"/>
      <c r="R40" s="15"/>
      <c r="S40" s="15">
        <f t="shared" si="29"/>
        <v>0</v>
      </c>
      <c r="T40" s="7">
        <f t="shared" si="30"/>
        <v>0</v>
      </c>
      <c r="U40" s="7">
        <f t="shared" si="31"/>
        <v>0</v>
      </c>
      <c r="V40" s="7">
        <f>U40-Y40-W40-X40</f>
        <v>0</v>
      </c>
      <c r="W40" s="7"/>
      <c r="X40" s="7"/>
      <c r="Y40" s="6"/>
      <c r="Z40" s="71"/>
      <c r="AA40" s="6"/>
      <c r="AB40" s="202">
        <v>742000</v>
      </c>
      <c r="AC40" s="8">
        <v>4</v>
      </c>
      <c r="AD40" s="15"/>
      <c r="AE40" s="8">
        <v>10</v>
      </c>
      <c r="AF40" s="8">
        <v>4</v>
      </c>
      <c r="AG40" s="8">
        <v>3</v>
      </c>
    </row>
    <row r="41" spans="1:33" s="9" customFormat="1" x14ac:dyDescent="0.25">
      <c r="A41" s="6">
        <f t="shared" si="10"/>
        <v>36</v>
      </c>
      <c r="B41" s="6">
        <v>1739</v>
      </c>
      <c r="C41" s="14" t="s">
        <v>337</v>
      </c>
      <c r="D41" s="15">
        <f>5050000+1500000</f>
        <v>6550000</v>
      </c>
      <c r="E41" s="15">
        <v>6550000</v>
      </c>
      <c r="F41" s="15">
        <f t="shared" si="23"/>
        <v>0</v>
      </c>
      <c r="G41" s="15">
        <f>1750000+800000</f>
        <v>2550000</v>
      </c>
      <c r="H41" s="15">
        <v>923485</v>
      </c>
      <c r="I41" s="15">
        <v>623325.04</v>
      </c>
      <c r="J41" s="15"/>
      <c r="K41" s="15">
        <f t="shared" si="24"/>
        <v>623325.04</v>
      </c>
      <c r="L41" s="15">
        <f t="shared" si="25"/>
        <v>1546810.04</v>
      </c>
      <c r="M41" s="15">
        <f t="shared" si="26"/>
        <v>5003189.96</v>
      </c>
      <c r="N41" s="15"/>
      <c r="O41" s="15">
        <f t="shared" si="27"/>
        <v>0</v>
      </c>
      <c r="P41" s="15">
        <f t="shared" si="28"/>
        <v>1003189.96</v>
      </c>
      <c r="Q41" s="15">
        <v>2500000</v>
      </c>
      <c r="R41" s="15">
        <v>1500000</v>
      </c>
      <c r="S41" s="15">
        <f t="shared" si="29"/>
        <v>4000000</v>
      </c>
      <c r="T41" s="7">
        <f t="shared" si="30"/>
        <v>0</v>
      </c>
      <c r="U41" s="7">
        <f t="shared" si="31"/>
        <v>0</v>
      </c>
      <c r="V41" s="7">
        <f>U41-W41-X41-Y41</f>
        <v>0</v>
      </c>
      <c r="W41" s="7"/>
      <c r="X41" s="7"/>
      <c r="Y41" s="6"/>
      <c r="Z41" s="79"/>
      <c r="AA41" s="59"/>
      <c r="AB41" s="202">
        <v>747000</v>
      </c>
      <c r="AC41" s="8">
        <v>5</v>
      </c>
      <c r="AD41" s="15"/>
      <c r="AE41" s="8"/>
      <c r="AF41" s="8"/>
      <c r="AG41" s="8">
        <v>3</v>
      </c>
    </row>
    <row r="42" spans="1:33" s="8" customFormat="1" x14ac:dyDescent="0.25">
      <c r="A42" s="6">
        <f t="shared" si="10"/>
        <v>37</v>
      </c>
      <c r="B42" s="6">
        <v>1745</v>
      </c>
      <c r="C42" s="14" t="s">
        <v>72</v>
      </c>
      <c r="D42" s="15">
        <v>2000000</v>
      </c>
      <c r="E42" s="15">
        <v>2000000</v>
      </c>
      <c r="F42" s="15">
        <f t="shared" si="23"/>
        <v>0</v>
      </c>
      <c r="G42" s="15">
        <v>200000</v>
      </c>
      <c r="H42" s="15">
        <v>0</v>
      </c>
      <c r="I42" s="15"/>
      <c r="J42" s="15"/>
      <c r="K42" s="15">
        <f t="shared" si="24"/>
        <v>0</v>
      </c>
      <c r="L42" s="15">
        <f t="shared" si="25"/>
        <v>0</v>
      </c>
      <c r="M42" s="15">
        <f t="shared" si="26"/>
        <v>2000000</v>
      </c>
      <c r="N42" s="15"/>
      <c r="O42" s="15">
        <f t="shared" si="27"/>
        <v>0</v>
      </c>
      <c r="P42" s="15">
        <f t="shared" si="28"/>
        <v>200000</v>
      </c>
      <c r="Q42" s="15">
        <v>1800000</v>
      </c>
      <c r="R42" s="15"/>
      <c r="S42" s="15">
        <f t="shared" si="29"/>
        <v>1800000</v>
      </c>
      <c r="T42" s="7">
        <f t="shared" si="30"/>
        <v>0</v>
      </c>
      <c r="U42" s="7">
        <f t="shared" si="31"/>
        <v>0</v>
      </c>
      <c r="V42" s="7">
        <f>U42-Y42-W42-X42</f>
        <v>0</v>
      </c>
      <c r="W42" s="7"/>
      <c r="X42" s="7"/>
      <c r="Y42" s="6"/>
      <c r="Z42" s="71"/>
      <c r="AA42" s="6"/>
      <c r="AB42" s="202">
        <v>742000</v>
      </c>
      <c r="AC42" s="191">
        <v>3</v>
      </c>
      <c r="AD42" s="15"/>
      <c r="AE42" s="8">
        <v>9</v>
      </c>
      <c r="AF42" s="8">
        <v>5</v>
      </c>
    </row>
    <row r="43" spans="1:33" s="8" customFormat="1" x14ac:dyDescent="0.25">
      <c r="A43" s="6">
        <f t="shared" si="10"/>
        <v>38</v>
      </c>
      <c r="B43" s="6">
        <v>1751</v>
      </c>
      <c r="C43" s="14" t="s">
        <v>329</v>
      </c>
      <c r="D43" s="15">
        <v>4800000</v>
      </c>
      <c r="E43" s="15">
        <v>4800000</v>
      </c>
      <c r="F43" s="15">
        <f t="shared" si="23"/>
        <v>0</v>
      </c>
      <c r="G43" s="15">
        <v>100000</v>
      </c>
      <c r="H43" s="15">
        <v>17700</v>
      </c>
      <c r="I43" s="15">
        <v>71417.14</v>
      </c>
      <c r="J43" s="15"/>
      <c r="K43" s="15">
        <f t="shared" si="24"/>
        <v>71417.14</v>
      </c>
      <c r="L43" s="15">
        <f t="shared" si="25"/>
        <v>89117.14</v>
      </c>
      <c r="M43" s="15">
        <f t="shared" si="26"/>
        <v>210882.86</v>
      </c>
      <c r="N43" s="15">
        <v>200000</v>
      </c>
      <c r="O43" s="15">
        <f t="shared" si="27"/>
        <v>4300000</v>
      </c>
      <c r="P43" s="15">
        <f t="shared" si="28"/>
        <v>10882.86</v>
      </c>
      <c r="Q43" s="15">
        <v>200000</v>
      </c>
      <c r="R43" s="15"/>
      <c r="S43" s="15">
        <f t="shared" si="29"/>
        <v>200000</v>
      </c>
      <c r="T43" s="7">
        <f t="shared" si="30"/>
        <v>0</v>
      </c>
      <c r="U43" s="7">
        <f t="shared" si="31"/>
        <v>200000</v>
      </c>
      <c r="V43" s="7">
        <f>U43-Y43-W43-X43</f>
        <v>200000</v>
      </c>
      <c r="W43" s="7"/>
      <c r="X43" s="7"/>
      <c r="Y43" s="6"/>
      <c r="Z43" s="71"/>
      <c r="AA43" s="210" t="s">
        <v>556</v>
      </c>
      <c r="AB43" s="202">
        <v>810000</v>
      </c>
      <c r="AC43" s="8">
        <v>3</v>
      </c>
      <c r="AD43" s="15" t="s">
        <v>443</v>
      </c>
      <c r="AE43" s="8">
        <v>8</v>
      </c>
      <c r="AG43" s="8">
        <v>1</v>
      </c>
    </row>
    <row r="44" spans="1:33" s="9" customFormat="1" x14ac:dyDescent="0.25">
      <c r="A44" s="6">
        <f t="shared" si="10"/>
        <v>39</v>
      </c>
      <c r="B44" s="6">
        <v>1763</v>
      </c>
      <c r="C44" s="14" t="s">
        <v>343</v>
      </c>
      <c r="D44" s="15">
        <v>3000000</v>
      </c>
      <c r="E44" s="15">
        <v>3000000</v>
      </c>
      <c r="F44" s="15">
        <f t="shared" si="23"/>
        <v>0</v>
      </c>
      <c r="G44" s="15">
        <v>300000</v>
      </c>
      <c r="H44" s="15">
        <v>21953</v>
      </c>
      <c r="I44" s="15">
        <v>275737.46999999997</v>
      </c>
      <c r="J44" s="15"/>
      <c r="K44" s="15">
        <f t="shared" si="24"/>
        <v>275737.46999999997</v>
      </c>
      <c r="L44" s="15">
        <f t="shared" si="25"/>
        <v>297690.46999999997</v>
      </c>
      <c r="M44" s="15">
        <f t="shared" si="26"/>
        <v>1702309.53</v>
      </c>
      <c r="N44" s="15">
        <v>500000</v>
      </c>
      <c r="O44" s="15">
        <f t="shared" si="27"/>
        <v>500000.00000000023</v>
      </c>
      <c r="P44" s="15">
        <f t="shared" si="28"/>
        <v>2309.5300000000279</v>
      </c>
      <c r="Q44" s="15">
        <v>1700000</v>
      </c>
      <c r="R44" s="15"/>
      <c r="S44" s="15">
        <f t="shared" si="29"/>
        <v>1700000</v>
      </c>
      <c r="T44" s="7">
        <f t="shared" si="30"/>
        <v>0</v>
      </c>
      <c r="U44" s="7">
        <f t="shared" si="31"/>
        <v>500000</v>
      </c>
      <c r="V44" s="7">
        <f t="shared" ref="V44:V51" si="32">U44-W44-X44-Y44</f>
        <v>500000</v>
      </c>
      <c r="W44" s="7"/>
      <c r="X44" s="7"/>
      <c r="Y44" s="6"/>
      <c r="Z44" s="79"/>
      <c r="AA44" s="210" t="s">
        <v>557</v>
      </c>
      <c r="AB44" s="202">
        <v>742000</v>
      </c>
      <c r="AC44" s="8">
        <v>4</v>
      </c>
      <c r="AD44" s="15" t="s">
        <v>443</v>
      </c>
      <c r="AE44" s="8"/>
      <c r="AF44" s="8"/>
      <c r="AG44" s="8">
        <v>1</v>
      </c>
    </row>
    <row r="45" spans="1:33" s="8" customFormat="1" x14ac:dyDescent="0.25">
      <c r="A45" s="6">
        <f t="shared" si="10"/>
        <v>40</v>
      </c>
      <c r="B45" s="6">
        <v>1764</v>
      </c>
      <c r="C45" s="14" t="s">
        <v>328</v>
      </c>
      <c r="D45" s="15">
        <v>4800000</v>
      </c>
      <c r="E45" s="15">
        <v>4800000</v>
      </c>
      <c r="F45" s="15">
        <f t="shared" si="23"/>
        <v>0</v>
      </c>
      <c r="G45" s="15">
        <v>1000000</v>
      </c>
      <c r="H45" s="15">
        <v>102419</v>
      </c>
      <c r="I45" s="15">
        <v>296586.14</v>
      </c>
      <c r="J45" s="15"/>
      <c r="K45" s="15">
        <f t="shared" si="24"/>
        <v>296586.14</v>
      </c>
      <c r="L45" s="15">
        <f t="shared" si="25"/>
        <v>399005.14</v>
      </c>
      <c r="M45" s="15">
        <f t="shared" si="26"/>
        <v>3600994.86</v>
      </c>
      <c r="N45" s="15">
        <v>800000</v>
      </c>
      <c r="O45" s="15">
        <f t="shared" si="27"/>
        <v>0</v>
      </c>
      <c r="P45" s="15">
        <f t="shared" si="28"/>
        <v>600994.86</v>
      </c>
      <c r="Q45" s="15">
        <v>3000000</v>
      </c>
      <c r="R45" s="15"/>
      <c r="S45" s="15">
        <f t="shared" si="29"/>
        <v>3000000</v>
      </c>
      <c r="T45" s="7">
        <f t="shared" si="30"/>
        <v>0</v>
      </c>
      <c r="U45" s="7">
        <f t="shared" si="31"/>
        <v>800000</v>
      </c>
      <c r="V45" s="7">
        <f t="shared" si="32"/>
        <v>800000</v>
      </c>
      <c r="W45" s="7"/>
      <c r="X45" s="7"/>
      <c r="Y45" s="6"/>
      <c r="Z45" s="79"/>
      <c r="AA45" s="211" t="s">
        <v>558</v>
      </c>
      <c r="AB45" s="202">
        <v>742000</v>
      </c>
      <c r="AC45" s="8">
        <v>4</v>
      </c>
      <c r="AD45" s="15" t="s">
        <v>443</v>
      </c>
      <c r="AG45" s="8">
        <v>1</v>
      </c>
    </row>
    <row r="46" spans="1:33" s="9" customFormat="1" x14ac:dyDescent="0.25">
      <c r="A46" s="6">
        <f t="shared" si="10"/>
        <v>41</v>
      </c>
      <c r="B46" s="6">
        <v>1765</v>
      </c>
      <c r="C46" s="14" t="s">
        <v>327</v>
      </c>
      <c r="D46" s="15">
        <v>2800000</v>
      </c>
      <c r="E46" s="15">
        <v>2800000</v>
      </c>
      <c r="F46" s="15">
        <f t="shared" si="23"/>
        <v>0</v>
      </c>
      <c r="G46" s="15">
        <v>900000</v>
      </c>
      <c r="H46" s="15">
        <v>7515</v>
      </c>
      <c r="I46" s="15">
        <v>892482.99</v>
      </c>
      <c r="J46" s="15"/>
      <c r="K46" s="15">
        <f t="shared" si="24"/>
        <v>892482.99</v>
      </c>
      <c r="L46" s="15">
        <f t="shared" si="25"/>
        <v>899997.99</v>
      </c>
      <c r="M46" s="15">
        <f t="shared" si="26"/>
        <v>1200002.01</v>
      </c>
      <c r="N46" s="15"/>
      <c r="O46" s="15">
        <f t="shared" si="27"/>
        <v>700000</v>
      </c>
      <c r="P46" s="15">
        <f t="shared" si="28"/>
        <v>2.0100000000093132</v>
      </c>
      <c r="Q46" s="15">
        <v>1200000</v>
      </c>
      <c r="R46" s="15"/>
      <c r="S46" s="15">
        <f t="shared" si="29"/>
        <v>1200000</v>
      </c>
      <c r="T46" s="7">
        <f t="shared" si="30"/>
        <v>0</v>
      </c>
      <c r="U46" s="7">
        <f t="shared" si="31"/>
        <v>0</v>
      </c>
      <c r="V46" s="7">
        <f t="shared" si="32"/>
        <v>0</v>
      </c>
      <c r="W46" s="7"/>
      <c r="X46" s="7"/>
      <c r="Y46" s="6"/>
      <c r="Z46" s="79"/>
      <c r="AA46" s="211" t="s">
        <v>559</v>
      </c>
      <c r="AB46" s="202">
        <v>742000</v>
      </c>
      <c r="AC46" s="8">
        <v>4</v>
      </c>
      <c r="AD46" s="15" t="s">
        <v>443</v>
      </c>
      <c r="AE46" s="8"/>
      <c r="AF46" s="8"/>
      <c r="AG46" s="8">
        <v>1</v>
      </c>
    </row>
    <row r="47" spans="1:33" s="9" customFormat="1" x14ac:dyDescent="0.25">
      <c r="A47" s="6">
        <f t="shared" si="10"/>
        <v>42</v>
      </c>
      <c r="B47" s="6">
        <v>1766</v>
      </c>
      <c r="C47" s="14" t="s">
        <v>279</v>
      </c>
      <c r="D47" s="15">
        <v>550000</v>
      </c>
      <c r="E47" s="15">
        <v>550000</v>
      </c>
      <c r="F47" s="15">
        <f t="shared" si="23"/>
        <v>0</v>
      </c>
      <c r="G47" s="15">
        <f>250000+300000</f>
        <v>550000</v>
      </c>
      <c r="H47" s="15">
        <v>106206</v>
      </c>
      <c r="I47" s="15">
        <v>143791.79999999999</v>
      </c>
      <c r="J47" s="15"/>
      <c r="K47" s="15">
        <f t="shared" si="24"/>
        <v>143791.79999999999</v>
      </c>
      <c r="L47" s="15">
        <f t="shared" si="25"/>
        <v>249997.8</v>
      </c>
      <c r="M47" s="15">
        <f t="shared" si="26"/>
        <v>300002.2</v>
      </c>
      <c r="N47" s="15"/>
      <c r="O47" s="15">
        <f t="shared" si="27"/>
        <v>0</v>
      </c>
      <c r="P47" s="15">
        <f t="shared" si="28"/>
        <v>300002.2</v>
      </c>
      <c r="Q47" s="15"/>
      <c r="R47" s="15"/>
      <c r="S47" s="15">
        <f t="shared" si="29"/>
        <v>0</v>
      </c>
      <c r="T47" s="7">
        <f t="shared" si="30"/>
        <v>0</v>
      </c>
      <c r="U47" s="7">
        <f t="shared" si="31"/>
        <v>0</v>
      </c>
      <c r="V47" s="7">
        <f t="shared" si="32"/>
        <v>0</v>
      </c>
      <c r="W47" s="7"/>
      <c r="X47" s="7"/>
      <c r="Y47" s="6"/>
      <c r="Z47" s="79"/>
      <c r="AA47" s="6"/>
      <c r="AB47" s="202">
        <v>810000</v>
      </c>
      <c r="AC47" s="8">
        <v>5</v>
      </c>
      <c r="AD47" s="15"/>
      <c r="AE47" s="8"/>
      <c r="AF47" s="8"/>
      <c r="AG47" s="8"/>
    </row>
    <row r="48" spans="1:33" s="8" customFormat="1" x14ac:dyDescent="0.25">
      <c r="A48" s="6">
        <f t="shared" si="10"/>
        <v>43</v>
      </c>
      <c r="B48" s="6">
        <v>1806</v>
      </c>
      <c r="C48" s="14" t="s">
        <v>604</v>
      </c>
      <c r="D48" s="15">
        <f>200000+300000</f>
        <v>500000</v>
      </c>
      <c r="E48" s="15">
        <v>200000</v>
      </c>
      <c r="F48" s="15">
        <f t="shared" si="23"/>
        <v>300000</v>
      </c>
      <c r="G48" s="15">
        <v>100000</v>
      </c>
      <c r="H48" s="15">
        <v>0</v>
      </c>
      <c r="I48" s="15"/>
      <c r="J48" s="15"/>
      <c r="K48" s="15">
        <f t="shared" si="24"/>
        <v>0</v>
      </c>
      <c r="L48" s="15">
        <f t="shared" si="25"/>
        <v>0</v>
      </c>
      <c r="M48" s="15">
        <f t="shared" si="26"/>
        <v>200000</v>
      </c>
      <c r="N48" s="15">
        <v>150000</v>
      </c>
      <c r="O48" s="15">
        <f t="shared" si="27"/>
        <v>150000</v>
      </c>
      <c r="P48" s="15">
        <f t="shared" si="28"/>
        <v>100000</v>
      </c>
      <c r="Q48" s="15"/>
      <c r="R48" s="15">
        <v>100000</v>
      </c>
      <c r="S48" s="15">
        <f t="shared" si="29"/>
        <v>100000</v>
      </c>
      <c r="T48" s="7">
        <f t="shared" si="30"/>
        <v>0</v>
      </c>
      <c r="U48" s="7">
        <f t="shared" si="31"/>
        <v>150000</v>
      </c>
      <c r="V48" s="7">
        <f t="shared" si="32"/>
        <v>150000</v>
      </c>
      <c r="W48" s="7"/>
      <c r="X48" s="7"/>
      <c r="Y48" s="6"/>
      <c r="Z48" s="79"/>
      <c r="AA48" s="211" t="s">
        <v>560</v>
      </c>
      <c r="AB48" s="202">
        <v>732000</v>
      </c>
      <c r="AC48" s="8">
        <v>4</v>
      </c>
      <c r="AD48" s="15" t="s">
        <v>443</v>
      </c>
      <c r="AG48" s="8">
        <v>1</v>
      </c>
    </row>
    <row r="49" spans="1:33" s="8" customFormat="1" x14ac:dyDescent="0.25">
      <c r="A49" s="6">
        <f t="shared" si="10"/>
        <v>44</v>
      </c>
      <c r="B49" s="6">
        <v>1807</v>
      </c>
      <c r="C49" s="14" t="s">
        <v>367</v>
      </c>
      <c r="D49" s="15">
        <v>2700000</v>
      </c>
      <c r="E49" s="15">
        <v>2700000</v>
      </c>
      <c r="F49" s="15">
        <f t="shared" si="23"/>
        <v>0</v>
      </c>
      <c r="G49" s="15">
        <v>650000</v>
      </c>
      <c r="H49" s="15">
        <v>13720</v>
      </c>
      <c r="I49" s="15">
        <v>636278.25</v>
      </c>
      <c r="J49" s="15"/>
      <c r="K49" s="15">
        <f t="shared" si="24"/>
        <v>636278.25</v>
      </c>
      <c r="L49" s="15">
        <f t="shared" si="25"/>
        <v>649998.25</v>
      </c>
      <c r="M49" s="15">
        <f t="shared" si="26"/>
        <v>2050001.75</v>
      </c>
      <c r="N49" s="15"/>
      <c r="O49" s="15">
        <f t="shared" si="27"/>
        <v>0</v>
      </c>
      <c r="P49" s="15">
        <f t="shared" si="28"/>
        <v>1.75</v>
      </c>
      <c r="Q49" s="15"/>
      <c r="R49" s="15">
        <v>2050000</v>
      </c>
      <c r="S49" s="15">
        <f t="shared" si="29"/>
        <v>2050000</v>
      </c>
      <c r="T49" s="7">
        <f t="shared" si="30"/>
        <v>0</v>
      </c>
      <c r="U49" s="7">
        <f t="shared" si="31"/>
        <v>0</v>
      </c>
      <c r="V49" s="7">
        <f t="shared" si="32"/>
        <v>0</v>
      </c>
      <c r="W49" s="7"/>
      <c r="X49" s="7"/>
      <c r="Y49" s="6"/>
      <c r="Z49" s="79"/>
      <c r="AA49" s="6"/>
      <c r="AB49" s="202">
        <v>742000</v>
      </c>
      <c r="AC49" s="8">
        <v>4</v>
      </c>
      <c r="AD49" s="15"/>
      <c r="AG49" s="8">
        <v>3</v>
      </c>
    </row>
    <row r="50" spans="1:33" s="8" customFormat="1" x14ac:dyDescent="0.25">
      <c r="A50" s="6">
        <f t="shared" si="10"/>
        <v>45</v>
      </c>
      <c r="B50" s="6">
        <v>1808</v>
      </c>
      <c r="C50" s="14" t="s">
        <v>368</v>
      </c>
      <c r="D50" s="15">
        <f>1200000+200000</f>
        <v>1400000</v>
      </c>
      <c r="E50" s="15">
        <v>1200000</v>
      </c>
      <c r="F50" s="15">
        <f t="shared" si="23"/>
        <v>200000</v>
      </c>
      <c r="G50" s="15">
        <v>100000</v>
      </c>
      <c r="H50" s="15">
        <v>0</v>
      </c>
      <c r="I50" s="15">
        <v>89235.96</v>
      </c>
      <c r="J50" s="15"/>
      <c r="K50" s="15">
        <f t="shared" si="24"/>
        <v>89235.96</v>
      </c>
      <c r="L50" s="15">
        <f t="shared" si="25"/>
        <v>89235.96</v>
      </c>
      <c r="M50" s="15">
        <f t="shared" si="26"/>
        <v>1110764.04</v>
      </c>
      <c r="N50" s="15">
        <v>200000</v>
      </c>
      <c r="O50" s="15">
        <f t="shared" si="27"/>
        <v>0</v>
      </c>
      <c r="P50" s="15">
        <f t="shared" si="28"/>
        <v>10764.039999999994</v>
      </c>
      <c r="Q50" s="15"/>
      <c r="R50" s="15">
        <v>1100000</v>
      </c>
      <c r="S50" s="15">
        <f t="shared" si="29"/>
        <v>1100000</v>
      </c>
      <c r="T50" s="7">
        <f t="shared" si="30"/>
        <v>0</v>
      </c>
      <c r="U50" s="7">
        <f t="shared" si="31"/>
        <v>200000</v>
      </c>
      <c r="V50" s="7">
        <f t="shared" si="32"/>
        <v>200000</v>
      </c>
      <c r="W50" s="7"/>
      <c r="X50" s="7"/>
      <c r="Y50" s="6"/>
      <c r="Z50" s="79"/>
      <c r="AA50" s="6"/>
      <c r="AB50" s="202">
        <v>742000</v>
      </c>
      <c r="AC50" s="8">
        <v>4</v>
      </c>
      <c r="AD50" s="15"/>
      <c r="AG50" s="8">
        <v>3</v>
      </c>
    </row>
    <row r="51" spans="1:33" s="8" customFormat="1" ht="15" customHeight="1" x14ac:dyDescent="0.25">
      <c r="A51" s="6">
        <f t="shared" si="10"/>
        <v>46</v>
      </c>
      <c r="B51" s="112">
        <v>1809</v>
      </c>
      <c r="C51" s="14" t="s">
        <v>369</v>
      </c>
      <c r="D51" s="15">
        <v>680000</v>
      </c>
      <c r="E51" s="15">
        <v>680000</v>
      </c>
      <c r="F51" s="15">
        <f t="shared" si="23"/>
        <v>0</v>
      </c>
      <c r="G51" s="15">
        <v>75000</v>
      </c>
      <c r="H51" s="15">
        <v>0</v>
      </c>
      <c r="I51" s="15">
        <v>62379.05</v>
      </c>
      <c r="J51" s="15"/>
      <c r="K51" s="15">
        <f t="shared" si="24"/>
        <v>62379.05</v>
      </c>
      <c r="L51" s="15">
        <f t="shared" si="25"/>
        <v>62379.05</v>
      </c>
      <c r="M51" s="15">
        <f t="shared" si="26"/>
        <v>617620.94999999995</v>
      </c>
      <c r="N51" s="15"/>
      <c r="O51" s="15">
        <f t="shared" si="27"/>
        <v>0</v>
      </c>
      <c r="P51" s="15">
        <f t="shared" si="28"/>
        <v>12620.949999999997</v>
      </c>
      <c r="Q51" s="15"/>
      <c r="R51" s="15">
        <v>605000</v>
      </c>
      <c r="S51" s="15">
        <f t="shared" si="29"/>
        <v>605000</v>
      </c>
      <c r="T51" s="7">
        <f t="shared" si="30"/>
        <v>0</v>
      </c>
      <c r="U51" s="7">
        <f t="shared" si="31"/>
        <v>0</v>
      </c>
      <c r="V51" s="7">
        <f t="shared" si="32"/>
        <v>0</v>
      </c>
      <c r="W51" s="7"/>
      <c r="X51" s="7"/>
      <c r="Y51" s="6"/>
      <c r="Z51" s="79"/>
      <c r="AA51" s="6"/>
      <c r="AB51" s="202">
        <v>742000</v>
      </c>
      <c r="AC51" s="8">
        <v>5</v>
      </c>
      <c r="AD51" s="15"/>
      <c r="AF51" s="113" t="e">
        <f>SUM(#REF!)</f>
        <v>#REF!</v>
      </c>
      <c r="AG51" s="8">
        <v>3</v>
      </c>
    </row>
    <row r="52" spans="1:33" s="159" customFormat="1" x14ac:dyDescent="0.25">
      <c r="A52" s="6">
        <f t="shared" si="10"/>
        <v>47</v>
      </c>
      <c r="B52" s="161">
        <v>1815</v>
      </c>
      <c r="C52" s="156" t="s">
        <v>375</v>
      </c>
      <c r="D52" s="157">
        <v>740000</v>
      </c>
      <c r="E52" s="157">
        <v>500000</v>
      </c>
      <c r="F52" s="157">
        <f t="shared" si="23"/>
        <v>240000</v>
      </c>
      <c r="G52" s="157">
        <v>500000</v>
      </c>
      <c r="H52" s="157">
        <v>0</v>
      </c>
      <c r="I52" s="157">
        <v>23809.86</v>
      </c>
      <c r="J52" s="157"/>
      <c r="K52" s="157">
        <f t="shared" ref="K52" si="33">I52+J52</f>
        <v>23809.86</v>
      </c>
      <c r="L52" s="157">
        <f t="shared" si="25"/>
        <v>23809.86</v>
      </c>
      <c r="M52" s="157">
        <f t="shared" si="26"/>
        <v>476190.14</v>
      </c>
      <c r="N52" s="157">
        <v>240000</v>
      </c>
      <c r="O52" s="157">
        <f t="shared" si="27"/>
        <v>0</v>
      </c>
      <c r="P52" s="157">
        <f t="shared" si="28"/>
        <v>476190.14</v>
      </c>
      <c r="Q52" s="157"/>
      <c r="R52" s="157"/>
      <c r="S52" s="157">
        <f t="shared" si="29"/>
        <v>0</v>
      </c>
      <c r="T52" s="157">
        <f t="shared" si="30"/>
        <v>0</v>
      </c>
      <c r="U52" s="157">
        <f t="shared" si="31"/>
        <v>240000</v>
      </c>
      <c r="V52" s="157"/>
      <c r="W52" s="157">
        <f t="shared" ref="W52" si="34">U52-V52-X52-Y52</f>
        <v>240000</v>
      </c>
      <c r="X52" s="157"/>
      <c r="Y52" s="156"/>
      <c r="Z52" s="160"/>
      <c r="AA52" s="156"/>
      <c r="AB52" s="156">
        <v>930000</v>
      </c>
    </row>
    <row r="53" spans="1:33" s="9" customFormat="1" ht="15.6" x14ac:dyDescent="0.25">
      <c r="A53" s="6">
        <f t="shared" si="10"/>
        <v>48</v>
      </c>
      <c r="B53" s="6">
        <v>1845</v>
      </c>
      <c r="C53" s="14" t="s">
        <v>448</v>
      </c>
      <c r="D53" s="15">
        <v>1500000</v>
      </c>
      <c r="E53" s="15"/>
      <c r="F53" s="15">
        <f t="shared" si="23"/>
        <v>1500000</v>
      </c>
      <c r="G53" s="15"/>
      <c r="H53" s="15"/>
      <c r="I53" s="15"/>
      <c r="J53" s="15"/>
      <c r="K53" s="15"/>
      <c r="L53" s="15"/>
      <c r="M53" s="15"/>
      <c r="N53" s="15">
        <v>200000</v>
      </c>
      <c r="O53" s="15">
        <f t="shared" si="27"/>
        <v>1300000</v>
      </c>
      <c r="P53" s="15"/>
      <c r="Q53" s="15"/>
      <c r="R53" s="15"/>
      <c r="S53" s="15"/>
      <c r="T53" s="7"/>
      <c r="U53" s="7">
        <f t="shared" si="31"/>
        <v>200000</v>
      </c>
      <c r="V53" s="7">
        <v>200000</v>
      </c>
      <c r="W53" s="7">
        <f>U53-V53-X53-Y53</f>
        <v>0</v>
      </c>
      <c r="X53" s="7"/>
      <c r="Y53" s="6"/>
      <c r="Z53" s="79"/>
      <c r="AA53" s="64" t="s">
        <v>566</v>
      </c>
      <c r="AB53" s="202">
        <v>742000</v>
      </c>
      <c r="AC53" s="8"/>
      <c r="AD53" s="15" t="s">
        <v>443</v>
      </c>
      <c r="AE53" s="8"/>
      <c r="AF53" s="8"/>
      <c r="AG53" s="8">
        <v>1</v>
      </c>
    </row>
    <row r="54" spans="1:33" s="8" customFormat="1" ht="15" customHeight="1" x14ac:dyDescent="0.25">
      <c r="A54" s="6">
        <f t="shared" si="10"/>
        <v>49</v>
      </c>
      <c r="B54" s="6">
        <v>1846</v>
      </c>
      <c r="C54" s="14" t="s">
        <v>444</v>
      </c>
      <c r="D54" s="15">
        <v>2000000</v>
      </c>
      <c r="E54" s="15"/>
      <c r="F54" s="15">
        <f t="shared" si="23"/>
        <v>2000000</v>
      </c>
      <c r="G54" s="15"/>
      <c r="H54" s="15"/>
      <c r="I54" s="15"/>
      <c r="J54" s="15"/>
      <c r="K54" s="15">
        <f>SUM(I54:J54)</f>
        <v>0</v>
      </c>
      <c r="L54" s="15">
        <f>H54+K54</f>
        <v>0</v>
      </c>
      <c r="M54" s="15">
        <f>P54+S54</f>
        <v>0</v>
      </c>
      <c r="N54" s="15">
        <v>200000</v>
      </c>
      <c r="O54" s="15">
        <f t="shared" si="27"/>
        <v>1800000</v>
      </c>
      <c r="P54" s="15"/>
      <c r="Q54" s="15"/>
      <c r="R54" s="15"/>
      <c r="S54" s="15"/>
      <c r="T54" s="7"/>
      <c r="U54" s="15">
        <f t="shared" si="31"/>
        <v>200000</v>
      </c>
      <c r="V54" s="7">
        <f>U54-W54-X54-Y54</f>
        <v>200000</v>
      </c>
      <c r="W54" s="7"/>
      <c r="X54" s="7"/>
      <c r="Y54" s="6"/>
      <c r="Z54" s="79"/>
      <c r="AA54" s="211" t="s">
        <v>561</v>
      </c>
      <c r="AB54" s="202">
        <v>732000</v>
      </c>
      <c r="AD54" s="15" t="s">
        <v>443</v>
      </c>
      <c r="AF54" s="113">
        <f>SUM(Q1:Q54)</f>
        <v>49500000</v>
      </c>
      <c r="AG54" s="8">
        <v>1</v>
      </c>
    </row>
    <row r="55" spans="1:33" s="9" customFormat="1" ht="15" customHeight="1" x14ac:dyDescent="0.25">
      <c r="A55" s="3">
        <f>A54</f>
        <v>49</v>
      </c>
      <c r="B55" s="114"/>
      <c r="C55" s="22" t="s">
        <v>447</v>
      </c>
      <c r="D55" s="94">
        <f t="shared" ref="D55:AE55" si="35">SUM(D6:D54)</f>
        <v>747977684</v>
      </c>
      <c r="E55" s="94">
        <f t="shared" si="35"/>
        <v>702489807</v>
      </c>
      <c r="F55" s="94">
        <f t="shared" si="35"/>
        <v>45487877</v>
      </c>
      <c r="G55" s="94">
        <f t="shared" si="35"/>
        <v>482989615</v>
      </c>
      <c r="H55" s="94">
        <f t="shared" si="35"/>
        <v>401078872.66999996</v>
      </c>
      <c r="I55" s="94">
        <f t="shared" si="35"/>
        <v>16821237.240000006</v>
      </c>
      <c r="J55" s="94">
        <f t="shared" si="35"/>
        <v>4002129.4700000007</v>
      </c>
      <c r="K55" s="94">
        <f t="shared" si="35"/>
        <v>20823366.710000001</v>
      </c>
      <c r="L55" s="94">
        <f t="shared" si="35"/>
        <v>421902239.38000005</v>
      </c>
      <c r="M55" s="94">
        <f t="shared" si="35"/>
        <v>125117375.62</v>
      </c>
      <c r="N55" s="94">
        <f t="shared" si="35"/>
        <v>94737469</v>
      </c>
      <c r="O55" s="94">
        <f t="shared" si="35"/>
        <v>106220600</v>
      </c>
      <c r="P55" s="94">
        <f t="shared" si="35"/>
        <v>61087375.620000005</v>
      </c>
      <c r="Q55" s="94">
        <f t="shared" si="35"/>
        <v>49500000</v>
      </c>
      <c r="R55" s="94">
        <f t="shared" si="35"/>
        <v>14530000</v>
      </c>
      <c r="S55" s="94">
        <f t="shared" si="35"/>
        <v>64030000</v>
      </c>
      <c r="T55" s="94">
        <f t="shared" si="35"/>
        <v>0</v>
      </c>
      <c r="U55" s="94">
        <f t="shared" si="35"/>
        <v>94737469</v>
      </c>
      <c r="V55" s="94">
        <f t="shared" si="35"/>
        <v>63413914</v>
      </c>
      <c r="W55" s="94">
        <f t="shared" si="35"/>
        <v>815000</v>
      </c>
      <c r="X55" s="94">
        <f t="shared" si="35"/>
        <v>0</v>
      </c>
      <c r="Y55" s="94">
        <f t="shared" si="35"/>
        <v>30508555</v>
      </c>
      <c r="Z55" s="94">
        <f t="shared" si="35"/>
        <v>0</v>
      </c>
      <c r="AA55" s="94">
        <f t="shared" si="35"/>
        <v>0</v>
      </c>
      <c r="AB55" s="203"/>
      <c r="AC55" s="94">
        <f t="shared" si="35"/>
        <v>187</v>
      </c>
      <c r="AD55" s="94">
        <f t="shared" si="35"/>
        <v>0</v>
      </c>
      <c r="AE55" s="94">
        <f t="shared" si="35"/>
        <v>51</v>
      </c>
      <c r="AF55" s="115"/>
    </row>
    <row r="56" spans="1:33" s="9" customFormat="1" ht="15" customHeight="1" x14ac:dyDescent="0.25">
      <c r="A56" s="3"/>
      <c r="B56" s="114"/>
      <c r="C56" s="22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203"/>
      <c r="AC56" s="116"/>
      <c r="AD56" s="94"/>
      <c r="AE56" s="116"/>
      <c r="AF56" s="115"/>
    </row>
    <row r="57" spans="1:33" s="8" customFormat="1" ht="15" customHeight="1" x14ac:dyDescent="0.25">
      <c r="A57" s="6"/>
      <c r="B57" s="112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7"/>
      <c r="U57" s="7"/>
      <c r="V57" s="7"/>
      <c r="W57" s="7"/>
      <c r="X57" s="7"/>
      <c r="Y57" s="6"/>
      <c r="Z57" s="79"/>
      <c r="AA57" s="6"/>
      <c r="AB57" s="202"/>
      <c r="AD57" s="15"/>
      <c r="AF57" s="113"/>
    </row>
    <row r="58" spans="1:33" s="8" customFormat="1" x14ac:dyDescent="0.25">
      <c r="A58" s="6"/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f>D58-L58-M58-N58</f>
        <v>0</v>
      </c>
      <c r="P58" s="7"/>
      <c r="Q58" s="7"/>
      <c r="R58" s="7"/>
      <c r="S58" s="7"/>
      <c r="T58" s="7">
        <f>P58-M58+R58</f>
        <v>0</v>
      </c>
      <c r="U58" s="7">
        <f>N58-T58</f>
        <v>0</v>
      </c>
      <c r="V58" s="7"/>
      <c r="W58" s="7"/>
      <c r="X58" s="7"/>
      <c r="Y58" s="6"/>
      <c r="Z58" s="77"/>
      <c r="AA58" s="6"/>
      <c r="AB58" s="6"/>
      <c r="AD58" s="7"/>
    </row>
    <row r="59" spans="1:33" s="8" customFormat="1" x14ac:dyDescent="0.25">
      <c r="A59" s="59"/>
      <c r="B59" s="59"/>
      <c r="C59" s="59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59"/>
      <c r="Z59" s="222"/>
      <c r="AA59" s="59"/>
      <c r="AB59" s="59"/>
      <c r="AD59" s="221"/>
    </row>
    <row r="60" spans="1:33" s="17" customFormat="1" x14ac:dyDescent="0.25"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33">
        <f>SUM(V60:Y60)</f>
        <v>100</v>
      </c>
      <c r="V60" s="233">
        <f>V55/$U$55%</f>
        <v>66.936466288750026</v>
      </c>
      <c r="W60" s="233">
        <f>W55/$U$55%</f>
        <v>0.86027208516621867</v>
      </c>
      <c r="Y60" s="233">
        <f>Y55/$U$55%</f>
        <v>32.203261626083766</v>
      </c>
      <c r="Z60" s="62"/>
      <c r="AD60" s="18"/>
    </row>
    <row r="61" spans="1:33" s="17" customFormat="1" x14ac:dyDescent="0.25">
      <c r="D61" s="18"/>
      <c r="E61" s="18"/>
      <c r="F61" s="18"/>
      <c r="G61" s="18"/>
      <c r="H61" s="18"/>
      <c r="I61" s="18"/>
      <c r="J61" s="18"/>
      <c r="K61" s="18"/>
      <c r="L61" s="19"/>
      <c r="M61" s="19"/>
      <c r="N61" s="18"/>
      <c r="O61" s="19"/>
      <c r="P61" s="19"/>
      <c r="Q61" s="18"/>
      <c r="R61" s="18"/>
      <c r="S61" s="18"/>
      <c r="T61" s="19"/>
      <c r="U61" s="18"/>
      <c r="V61" s="119"/>
      <c r="W61" s="119"/>
      <c r="X61" s="119"/>
      <c r="Y61" s="119"/>
      <c r="Z61" s="81"/>
      <c r="AD61" s="18"/>
      <c r="AF61" s="18"/>
    </row>
    <row r="62" spans="1:33" x14ac:dyDescent="0.25">
      <c r="B62" s="19"/>
    </row>
    <row r="64" spans="1:33" x14ac:dyDescent="0.25">
      <c r="P64" s="102"/>
      <c r="Q64" s="102"/>
    </row>
    <row r="65" spans="1:30" s="213" customFormat="1" x14ac:dyDescent="0.25">
      <c r="A65" s="212"/>
      <c r="C65" s="216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102"/>
      <c r="Q65" s="102"/>
      <c r="R65" s="214"/>
      <c r="S65" s="214"/>
      <c r="T65" s="214"/>
      <c r="Z65" s="215"/>
      <c r="AD65" s="214"/>
    </row>
    <row r="66" spans="1:30" x14ac:dyDescent="0.25">
      <c r="P66" s="102"/>
      <c r="Q66" s="102"/>
    </row>
  </sheetData>
  <sheetProtection algorithmName="SHA-512" hashValue="H9XDiFFZsQ4cNnm7TPnFI+KWeGVPsVyY0Gz9FhgthEM1NNySYjlb/O71q+vlU5sS78ScmMs4BIxIq9QiVtFopw==" saltValue="c/5rrnULFoLRz/kW+NOFOQ==" spinCount="100000" sheet="1" formatCells="0" formatColumns="0" formatRows="0" insertColumns="0" insertRows="0" insertHyperlinks="0" deleteColumns="0" deleteRows="0" sort="0" autoFilter="0" pivotTables="0"/>
  <sortState ref="A6:AG52">
    <sortCondition ref="B6:B52"/>
  </sortState>
  <mergeCells count="2">
    <mergeCell ref="A2:Y2"/>
    <mergeCell ref="A3:Y3"/>
  </mergeCells>
  <printOptions horizontalCentered="1"/>
  <pageMargins left="0" right="0" top="0.78740157480314965" bottom="0.98425196850393704" header="0.51181102362204722" footer="0.51181102362204722"/>
  <pageSetup paperSize="9" scale="80" fitToWidth="0" orientation="landscape" r:id="rId1"/>
  <headerFooter alignWithMargins="0">
    <oddFooter xml:space="preserve">&amp;Cעמוד &amp;P מתוך &amp;N&amp;Rהחברה לפיתוח 
עמוד 28 - 27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30"/>
  <sheetViews>
    <sheetView showZeros="0" rightToLeft="1" zoomScaleNormal="100" workbookViewId="0">
      <pane xSplit="3" ySplit="5" topLeftCell="D159" activePane="bottomRight" state="frozen"/>
      <selection pane="topRight" activeCell="D1" sqref="D1"/>
      <selection pane="bottomLeft" activeCell="A6" sqref="A6"/>
      <selection pane="bottomRight" activeCell="B212" sqref="B212:B217"/>
    </sheetView>
  </sheetViews>
  <sheetFormatPr defaultColWidth="9.109375" defaultRowHeight="13.8" x14ac:dyDescent="0.25"/>
  <cols>
    <col min="1" max="1" width="5.33203125" style="20" customWidth="1"/>
    <col min="2" max="2" width="6.6640625" style="95" customWidth="1"/>
    <col min="3" max="3" width="38.33203125" style="21" customWidth="1"/>
    <col min="4" max="5" width="13.109375" style="19" customWidth="1"/>
    <col min="6" max="6" width="11.33203125" style="19" customWidth="1"/>
    <col min="7" max="10" width="12.6640625" style="19" hidden="1" customWidth="1"/>
    <col min="11" max="11" width="11.33203125" style="19" hidden="1" customWidth="1"/>
    <col min="12" max="12" width="11.44140625" style="19" customWidth="1"/>
    <col min="13" max="13" width="11.109375" style="91" customWidth="1"/>
    <col min="14" max="14" width="11.33203125" style="19" customWidth="1"/>
    <col min="15" max="15" width="11.6640625" style="19" customWidth="1"/>
    <col min="16" max="16" width="13.5546875" style="19" hidden="1" customWidth="1"/>
    <col min="17" max="17" width="11.109375" style="19" hidden="1" customWidth="1"/>
    <col min="18" max="18" width="12" style="19" hidden="1" customWidth="1"/>
    <col min="19" max="19" width="11.6640625" style="19" hidden="1" customWidth="1"/>
    <col min="20" max="20" width="8.88671875" style="19" customWidth="1"/>
    <col min="21" max="21" width="11.88671875" style="21" customWidth="1"/>
    <col min="22" max="22" width="11.109375" style="21" customWidth="1"/>
    <col min="23" max="23" width="8.33203125" style="21" customWidth="1"/>
    <col min="24" max="24" width="7.44140625" style="21" hidden="1" customWidth="1"/>
    <col min="25" max="25" width="10.33203125" style="21" customWidth="1"/>
    <col min="26" max="26" width="14.6640625" style="20" customWidth="1"/>
    <col min="27" max="27" width="9.109375" style="21"/>
    <col min="28" max="28" width="0" style="21" hidden="1" customWidth="1"/>
    <col min="29" max="16384" width="9.109375" style="21"/>
  </cols>
  <sheetData>
    <row r="1" spans="1:28" x14ac:dyDescent="0.25">
      <c r="V1" s="21" t="s">
        <v>437</v>
      </c>
    </row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69"/>
    </row>
    <row r="3" spans="1:28" ht="18" x14ac:dyDescent="0.35">
      <c r="A3" s="256" t="s">
        <v>333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5" spans="1:28" s="85" customFormat="1" ht="86.25" customHeight="1" x14ac:dyDescent="0.25">
      <c r="A5" s="5" t="s">
        <v>0</v>
      </c>
      <c r="B5" s="92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92" t="s">
        <v>359</v>
      </c>
      <c r="N5" s="5" t="s">
        <v>360</v>
      </c>
      <c r="O5" s="5" t="s">
        <v>361</v>
      </c>
      <c r="P5" s="5" t="s">
        <v>12</v>
      </c>
      <c r="Q5" s="5" t="s">
        <v>362</v>
      </c>
      <c r="R5" s="5" t="s">
        <v>363</v>
      </c>
      <c r="S5" s="5" t="s">
        <v>364</v>
      </c>
      <c r="T5" s="5" t="s">
        <v>365</v>
      </c>
      <c r="U5" s="5" t="s">
        <v>366</v>
      </c>
      <c r="V5" s="5" t="s">
        <v>13</v>
      </c>
      <c r="W5" s="5" t="s">
        <v>14</v>
      </c>
      <c r="X5" s="5" t="s">
        <v>15</v>
      </c>
      <c r="Y5" s="5" t="s">
        <v>285</v>
      </c>
      <c r="Z5" s="70" t="s">
        <v>16</v>
      </c>
      <c r="AB5" s="201" t="s">
        <v>18</v>
      </c>
    </row>
    <row r="6" spans="1:28" s="8" customFormat="1" ht="18" x14ac:dyDescent="0.25">
      <c r="A6" s="10"/>
      <c r="B6" s="223"/>
      <c r="C6" s="96"/>
      <c r="D6" s="83"/>
      <c r="E6" s="83"/>
      <c r="F6" s="83"/>
      <c r="G6" s="83"/>
      <c r="H6" s="83"/>
      <c r="I6" s="83"/>
      <c r="J6" s="83"/>
      <c r="K6" s="83"/>
      <c r="L6" s="83"/>
      <c r="M6" s="9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84"/>
    </row>
    <row r="7" spans="1:28" s="8" customFormat="1" x14ac:dyDescent="0.25">
      <c r="A7" s="10"/>
      <c r="B7" s="223"/>
      <c r="C7" s="88" t="s">
        <v>381</v>
      </c>
      <c r="D7" s="83"/>
      <c r="E7" s="83"/>
      <c r="F7" s="83"/>
      <c r="G7" s="83"/>
      <c r="H7" s="83"/>
      <c r="I7" s="83"/>
      <c r="J7" s="83"/>
      <c r="K7" s="83"/>
      <c r="L7" s="83"/>
      <c r="M7" s="9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10"/>
      <c r="Z7" s="84"/>
    </row>
    <row r="8" spans="1:28" s="8" customFormat="1" x14ac:dyDescent="0.25">
      <c r="A8" s="6">
        <f>1+A7</f>
        <v>1</v>
      </c>
      <c r="B8" s="14">
        <v>179</v>
      </c>
      <c r="C8" s="6" t="s">
        <v>49</v>
      </c>
      <c r="D8" s="7">
        <v>3000000</v>
      </c>
      <c r="E8" s="7">
        <v>2895250</v>
      </c>
      <c r="F8" s="7">
        <f t="shared" ref="F8:F15" si="0">D8-E8</f>
        <v>104750</v>
      </c>
      <c r="G8" s="7">
        <v>2745250</v>
      </c>
      <c r="H8" s="7">
        <v>2575054.67</v>
      </c>
      <c r="I8" s="7">
        <v>48653.07</v>
      </c>
      <c r="J8" s="7"/>
      <c r="K8" s="7">
        <f t="shared" ref="K8:K15" si="1">SUM(I8:J8)</f>
        <v>48653.07</v>
      </c>
      <c r="L8" s="7">
        <f t="shared" ref="L8:L15" si="2">H8+K8</f>
        <v>2623707.7399999998</v>
      </c>
      <c r="M8" s="15">
        <f t="shared" ref="M8:M15" si="3">P8+S8</f>
        <v>271542.26000000024</v>
      </c>
      <c r="N8" s="7">
        <f>100000-25000</f>
        <v>75000</v>
      </c>
      <c r="O8" s="7">
        <f t="shared" ref="O8:O15" si="4">D8-L8-M8-N8</f>
        <v>29750</v>
      </c>
      <c r="P8" s="7">
        <f t="shared" ref="P8:P15" si="5">G8-L8</f>
        <v>121542.26000000024</v>
      </c>
      <c r="Q8" s="7">
        <f>50000+100000</f>
        <v>150000</v>
      </c>
      <c r="R8" s="7"/>
      <c r="S8" s="7">
        <f t="shared" ref="S8:S15" si="6">SUM(Q8:R8)</f>
        <v>150000</v>
      </c>
      <c r="T8" s="7">
        <f t="shared" ref="T8:T15" si="7">P8-M8+S8</f>
        <v>0</v>
      </c>
      <c r="U8" s="7">
        <f t="shared" ref="U8:U15" si="8">N8-T8</f>
        <v>75000</v>
      </c>
      <c r="V8" s="7">
        <f t="shared" ref="V8:V15" si="9">U8-Y8-W8-X8</f>
        <v>75000</v>
      </c>
      <c r="W8" s="7"/>
      <c r="X8" s="7"/>
      <c r="Y8" s="6"/>
      <c r="Z8" s="71"/>
      <c r="AB8" s="8">
        <v>732000</v>
      </c>
    </row>
    <row r="9" spans="1:28" s="8" customFormat="1" x14ac:dyDescent="0.25">
      <c r="A9" s="6">
        <f>1+A8</f>
        <v>2</v>
      </c>
      <c r="B9" s="14">
        <v>608</v>
      </c>
      <c r="C9" s="6" t="s">
        <v>50</v>
      </c>
      <c r="D9" s="7">
        <v>6000000</v>
      </c>
      <c r="E9" s="7">
        <v>6000000</v>
      </c>
      <c r="F9" s="7">
        <f t="shared" si="0"/>
        <v>0</v>
      </c>
      <c r="G9" s="7">
        <v>5300000</v>
      </c>
      <c r="H9" s="7">
        <v>4490773.57</v>
      </c>
      <c r="I9" s="7">
        <v>68522.14</v>
      </c>
      <c r="J9" s="7">
        <v>235377.22</v>
      </c>
      <c r="K9" s="7">
        <f t="shared" si="1"/>
        <v>303899.36</v>
      </c>
      <c r="L9" s="7">
        <f t="shared" si="2"/>
        <v>4794672.9300000006</v>
      </c>
      <c r="M9" s="15">
        <f t="shared" si="3"/>
        <v>505327.06999999937</v>
      </c>
      <c r="N9" s="7"/>
      <c r="O9" s="7">
        <f t="shared" si="4"/>
        <v>700000</v>
      </c>
      <c r="P9" s="7">
        <f t="shared" si="5"/>
        <v>505327.06999999937</v>
      </c>
      <c r="Q9" s="7"/>
      <c r="R9" s="7"/>
      <c r="S9" s="7">
        <f t="shared" si="6"/>
        <v>0</v>
      </c>
      <c r="T9" s="7">
        <f t="shared" si="7"/>
        <v>0</v>
      </c>
      <c r="U9" s="7">
        <f t="shared" si="8"/>
        <v>0</v>
      </c>
      <c r="V9" s="7">
        <f t="shared" si="9"/>
        <v>0</v>
      </c>
      <c r="W9" s="7"/>
      <c r="X9" s="7"/>
      <c r="Y9" s="6"/>
      <c r="Z9" s="71"/>
      <c r="AB9" s="8">
        <v>745000</v>
      </c>
    </row>
    <row r="10" spans="1:28" s="8" customFormat="1" x14ac:dyDescent="0.25">
      <c r="A10" s="6">
        <f t="shared" ref="A10:A15" si="10">1+A9</f>
        <v>3</v>
      </c>
      <c r="B10" s="14">
        <v>658</v>
      </c>
      <c r="C10" s="6" t="s">
        <v>51</v>
      </c>
      <c r="D10" s="7">
        <v>1700000</v>
      </c>
      <c r="E10" s="7">
        <v>1700000</v>
      </c>
      <c r="F10" s="7">
        <f t="shared" si="0"/>
        <v>0</v>
      </c>
      <c r="G10" s="7">
        <v>1300000</v>
      </c>
      <c r="H10" s="7">
        <v>874331.31</v>
      </c>
      <c r="I10" s="7">
        <v>278696.58</v>
      </c>
      <c r="J10" s="7"/>
      <c r="K10" s="7">
        <f t="shared" si="1"/>
        <v>278696.58</v>
      </c>
      <c r="L10" s="7">
        <f t="shared" si="2"/>
        <v>1153027.8900000001</v>
      </c>
      <c r="M10" s="15">
        <f t="shared" si="3"/>
        <v>196972.10999999987</v>
      </c>
      <c r="N10" s="7">
        <v>200000</v>
      </c>
      <c r="O10" s="7">
        <f t="shared" si="4"/>
        <v>150000</v>
      </c>
      <c r="P10" s="7">
        <f t="shared" si="5"/>
        <v>146972.10999999987</v>
      </c>
      <c r="Q10" s="7">
        <v>50000</v>
      </c>
      <c r="R10" s="7"/>
      <c r="S10" s="7">
        <f t="shared" si="6"/>
        <v>50000</v>
      </c>
      <c r="T10" s="7">
        <f t="shared" si="7"/>
        <v>0</v>
      </c>
      <c r="U10" s="7">
        <f t="shared" si="8"/>
        <v>200000</v>
      </c>
      <c r="V10" s="7">
        <f t="shared" si="9"/>
        <v>200000</v>
      </c>
      <c r="W10" s="7"/>
      <c r="X10" s="7"/>
      <c r="Y10" s="6"/>
      <c r="Z10" s="71"/>
      <c r="AB10" s="8">
        <v>930000</v>
      </c>
    </row>
    <row r="11" spans="1:28" s="8" customFormat="1" x14ac:dyDescent="0.25">
      <c r="A11" s="6">
        <f t="shared" si="10"/>
        <v>4</v>
      </c>
      <c r="B11" s="14">
        <v>1060</v>
      </c>
      <c r="C11" s="6" t="s">
        <v>108</v>
      </c>
      <c r="D11" s="7">
        <v>2085000</v>
      </c>
      <c r="E11" s="7">
        <v>2085000</v>
      </c>
      <c r="F11" s="7">
        <f t="shared" si="0"/>
        <v>0</v>
      </c>
      <c r="G11" s="7">
        <v>875000</v>
      </c>
      <c r="H11" s="7">
        <v>695855.75</v>
      </c>
      <c r="I11" s="7">
        <v>55353</v>
      </c>
      <c r="J11" s="7">
        <v>20390.400000000001</v>
      </c>
      <c r="K11" s="7">
        <f t="shared" si="1"/>
        <v>75743.399999999994</v>
      </c>
      <c r="L11" s="7">
        <f t="shared" si="2"/>
        <v>771599.15</v>
      </c>
      <c r="M11" s="15">
        <f>P11+S11-25000</f>
        <v>78400.849999999977</v>
      </c>
      <c r="N11" s="7"/>
      <c r="O11" s="7">
        <f t="shared" si="4"/>
        <v>1235000</v>
      </c>
      <c r="P11" s="7">
        <f t="shared" si="5"/>
        <v>103400.84999999998</v>
      </c>
      <c r="Q11" s="7"/>
      <c r="R11" s="7"/>
      <c r="S11" s="7">
        <f t="shared" si="6"/>
        <v>0</v>
      </c>
      <c r="T11" s="7">
        <f t="shared" si="7"/>
        <v>25000</v>
      </c>
      <c r="U11" s="7">
        <f t="shared" si="8"/>
        <v>-25000</v>
      </c>
      <c r="V11" s="7">
        <f t="shared" si="9"/>
        <v>-25000</v>
      </c>
      <c r="W11" s="7"/>
      <c r="X11" s="7"/>
      <c r="Y11" s="6"/>
      <c r="Z11" s="71"/>
      <c r="AB11" s="8">
        <v>760000</v>
      </c>
    </row>
    <row r="12" spans="1:28" s="8" customFormat="1" x14ac:dyDescent="0.25">
      <c r="A12" s="6">
        <f t="shared" si="10"/>
        <v>5</v>
      </c>
      <c r="B12" s="14">
        <v>1129</v>
      </c>
      <c r="C12" s="6" t="s">
        <v>52</v>
      </c>
      <c r="D12" s="7">
        <v>5500000</v>
      </c>
      <c r="E12" s="7">
        <v>5000000</v>
      </c>
      <c r="F12" s="7">
        <f t="shared" si="0"/>
        <v>500000</v>
      </c>
      <c r="G12" s="7">
        <v>4791771</v>
      </c>
      <c r="H12" s="7">
        <v>4338077.25</v>
      </c>
      <c r="I12" s="7">
        <v>328188.76</v>
      </c>
      <c r="J12" s="7">
        <v>64346.44</v>
      </c>
      <c r="K12" s="7">
        <f t="shared" si="1"/>
        <v>392535.2</v>
      </c>
      <c r="L12" s="7">
        <f t="shared" si="2"/>
        <v>4730612.45</v>
      </c>
      <c r="M12" s="15">
        <f t="shared" si="3"/>
        <v>261158.54999999981</v>
      </c>
      <c r="N12" s="7">
        <v>500000</v>
      </c>
      <c r="O12" s="7">
        <f t="shared" si="4"/>
        <v>8229</v>
      </c>
      <c r="P12" s="7">
        <f t="shared" si="5"/>
        <v>61158.549999999814</v>
      </c>
      <c r="Q12" s="7">
        <v>200000</v>
      </c>
      <c r="R12" s="7"/>
      <c r="S12" s="7">
        <f t="shared" si="6"/>
        <v>200000</v>
      </c>
      <c r="T12" s="7">
        <f t="shared" si="7"/>
        <v>0</v>
      </c>
      <c r="U12" s="7">
        <f t="shared" si="8"/>
        <v>500000</v>
      </c>
      <c r="V12" s="7">
        <f t="shared" si="9"/>
        <v>500000</v>
      </c>
      <c r="W12" s="7"/>
      <c r="X12" s="7"/>
      <c r="Y12" s="6"/>
      <c r="Z12" s="71"/>
      <c r="AB12" s="8">
        <v>742000</v>
      </c>
    </row>
    <row r="13" spans="1:28" s="8" customFormat="1" x14ac:dyDescent="0.25">
      <c r="A13" s="6">
        <f t="shared" si="10"/>
        <v>6</v>
      </c>
      <c r="B13" s="14">
        <v>1220</v>
      </c>
      <c r="C13" s="6" t="s">
        <v>54</v>
      </c>
      <c r="D13" s="7">
        <v>5400000</v>
      </c>
      <c r="E13" s="7">
        <v>4900000</v>
      </c>
      <c r="F13" s="7">
        <f t="shared" si="0"/>
        <v>500000</v>
      </c>
      <c r="G13" s="7">
        <v>4700000</v>
      </c>
      <c r="H13" s="7">
        <v>3519527.83</v>
      </c>
      <c r="I13" s="7">
        <v>1089033.6299999999</v>
      </c>
      <c r="J13" s="7">
        <v>55984.58</v>
      </c>
      <c r="K13" s="7">
        <f t="shared" si="1"/>
        <v>1145018.21</v>
      </c>
      <c r="L13" s="7">
        <f t="shared" si="2"/>
        <v>4664546.04</v>
      </c>
      <c r="M13" s="15">
        <f t="shared" si="3"/>
        <v>235453.95999999996</v>
      </c>
      <c r="N13" s="7">
        <v>500000</v>
      </c>
      <c r="O13" s="7">
        <f t="shared" si="4"/>
        <v>0</v>
      </c>
      <c r="P13" s="7">
        <f t="shared" si="5"/>
        <v>35453.959999999963</v>
      </c>
      <c r="Q13" s="7">
        <v>200000</v>
      </c>
      <c r="R13" s="7"/>
      <c r="S13" s="7">
        <f t="shared" si="6"/>
        <v>200000</v>
      </c>
      <c r="T13" s="7">
        <f t="shared" si="7"/>
        <v>0</v>
      </c>
      <c r="U13" s="7">
        <f t="shared" si="8"/>
        <v>500000</v>
      </c>
      <c r="V13" s="7">
        <f t="shared" si="9"/>
        <v>500000</v>
      </c>
      <c r="W13" s="7"/>
      <c r="X13" s="7"/>
      <c r="Y13" s="7"/>
      <c r="Z13" s="71"/>
      <c r="AB13" s="8">
        <v>732000</v>
      </c>
    </row>
    <row r="14" spans="1:28" s="8" customFormat="1" ht="27.6" x14ac:dyDescent="0.25">
      <c r="A14" s="6">
        <f t="shared" si="10"/>
        <v>7</v>
      </c>
      <c r="B14" s="14">
        <v>1351</v>
      </c>
      <c r="C14" s="6" t="s">
        <v>57</v>
      </c>
      <c r="D14" s="7">
        <v>4600000</v>
      </c>
      <c r="E14" s="7">
        <v>4300000</v>
      </c>
      <c r="F14" s="7">
        <f t="shared" si="0"/>
        <v>300000</v>
      </c>
      <c r="G14" s="7">
        <v>3950000</v>
      </c>
      <c r="H14" s="7">
        <v>3786368.26</v>
      </c>
      <c r="I14" s="7">
        <v>111744.64</v>
      </c>
      <c r="J14" s="7"/>
      <c r="K14" s="7">
        <f t="shared" si="1"/>
        <v>111744.64</v>
      </c>
      <c r="L14" s="7">
        <f t="shared" si="2"/>
        <v>3898112.9</v>
      </c>
      <c r="M14" s="15">
        <f t="shared" si="3"/>
        <v>401887.10000000009</v>
      </c>
      <c r="N14" s="7">
        <v>300000</v>
      </c>
      <c r="O14" s="7">
        <f t="shared" si="4"/>
        <v>0</v>
      </c>
      <c r="P14" s="7">
        <f t="shared" si="5"/>
        <v>51887.100000000093</v>
      </c>
      <c r="Q14" s="7">
        <f>150000+200000</f>
        <v>350000</v>
      </c>
      <c r="R14" s="7"/>
      <c r="S14" s="7">
        <f t="shared" si="6"/>
        <v>350000</v>
      </c>
      <c r="T14" s="7">
        <f t="shared" si="7"/>
        <v>0</v>
      </c>
      <c r="U14" s="7">
        <f t="shared" si="8"/>
        <v>300000</v>
      </c>
      <c r="V14" s="7">
        <f t="shared" si="9"/>
        <v>300000</v>
      </c>
      <c r="W14" s="7"/>
      <c r="X14" s="7"/>
      <c r="Y14" s="7"/>
      <c r="Z14" s="71"/>
      <c r="AB14" s="8">
        <v>760000</v>
      </c>
    </row>
    <row r="15" spans="1:28" s="8" customFormat="1" x14ac:dyDescent="0.25">
      <c r="A15" s="6">
        <f t="shared" si="10"/>
        <v>8</v>
      </c>
      <c r="B15" s="14">
        <v>1601</v>
      </c>
      <c r="C15" s="6" t="s">
        <v>64</v>
      </c>
      <c r="D15" s="7">
        <v>500000</v>
      </c>
      <c r="E15" s="7">
        <v>400000</v>
      </c>
      <c r="F15" s="7">
        <f t="shared" si="0"/>
        <v>100000</v>
      </c>
      <c r="G15" s="7">
        <v>250000</v>
      </c>
      <c r="H15" s="7">
        <v>181286.55</v>
      </c>
      <c r="I15" s="7">
        <v>42507.68</v>
      </c>
      <c r="J15" s="7">
        <v>6096.79</v>
      </c>
      <c r="K15" s="7">
        <f t="shared" si="1"/>
        <v>48604.47</v>
      </c>
      <c r="L15" s="7">
        <f t="shared" si="2"/>
        <v>229891.02</v>
      </c>
      <c r="M15" s="15">
        <f t="shared" si="3"/>
        <v>20108.98000000001</v>
      </c>
      <c r="N15" s="7">
        <v>250000</v>
      </c>
      <c r="O15" s="7">
        <f t="shared" si="4"/>
        <v>0</v>
      </c>
      <c r="P15" s="7">
        <f t="shared" si="5"/>
        <v>20108.98000000001</v>
      </c>
      <c r="Q15" s="7"/>
      <c r="R15" s="7"/>
      <c r="S15" s="7">
        <f t="shared" si="6"/>
        <v>0</v>
      </c>
      <c r="T15" s="7">
        <f t="shared" si="7"/>
        <v>0</v>
      </c>
      <c r="U15" s="7">
        <f t="shared" si="8"/>
        <v>250000</v>
      </c>
      <c r="V15" s="7">
        <f t="shared" si="9"/>
        <v>250000</v>
      </c>
      <c r="W15" s="7"/>
      <c r="X15" s="7"/>
      <c r="Y15" s="7"/>
      <c r="Z15" s="71"/>
      <c r="AB15" s="8">
        <v>742000</v>
      </c>
    </row>
    <row r="16" spans="1:28" s="9" customFormat="1" x14ac:dyDescent="0.25">
      <c r="A16" s="3"/>
      <c r="B16" s="22"/>
      <c r="C16" s="88" t="s">
        <v>382</v>
      </c>
      <c r="D16" s="89">
        <f t="shared" ref="D16:Y16" si="11">SUM(D8:D15)</f>
        <v>28785000</v>
      </c>
      <c r="E16" s="89">
        <f t="shared" si="11"/>
        <v>27280250</v>
      </c>
      <c r="F16" s="89">
        <f t="shared" si="11"/>
        <v>1504750</v>
      </c>
      <c r="G16" s="89">
        <f t="shared" si="11"/>
        <v>23912021</v>
      </c>
      <c r="H16" s="89">
        <f t="shared" si="11"/>
        <v>20461275.190000001</v>
      </c>
      <c r="I16" s="89">
        <f t="shared" si="11"/>
        <v>2022699.4999999998</v>
      </c>
      <c r="J16" s="89">
        <f t="shared" si="11"/>
        <v>382195.43</v>
      </c>
      <c r="K16" s="89">
        <f t="shared" si="11"/>
        <v>2404894.9300000006</v>
      </c>
      <c r="L16" s="89">
        <f t="shared" si="11"/>
        <v>22866170.119999997</v>
      </c>
      <c r="M16" s="94">
        <f t="shared" si="11"/>
        <v>1970850.8799999994</v>
      </c>
      <c r="N16" s="89">
        <f t="shared" si="11"/>
        <v>1825000</v>
      </c>
      <c r="O16" s="89">
        <f t="shared" si="11"/>
        <v>2122979</v>
      </c>
      <c r="P16" s="89">
        <f t="shared" si="11"/>
        <v>1045850.8799999993</v>
      </c>
      <c r="Q16" s="89">
        <f t="shared" si="11"/>
        <v>950000</v>
      </c>
      <c r="R16" s="89">
        <f t="shared" si="11"/>
        <v>0</v>
      </c>
      <c r="S16" s="89">
        <f t="shared" si="11"/>
        <v>950000</v>
      </c>
      <c r="T16" s="89">
        <f t="shared" si="11"/>
        <v>25000</v>
      </c>
      <c r="U16" s="89">
        <f t="shared" si="11"/>
        <v>1800000</v>
      </c>
      <c r="V16" s="89">
        <f t="shared" si="11"/>
        <v>1800000</v>
      </c>
      <c r="W16" s="89">
        <f t="shared" si="11"/>
        <v>0</v>
      </c>
      <c r="X16" s="89">
        <f t="shared" si="11"/>
        <v>0</v>
      </c>
      <c r="Y16" s="89">
        <f t="shared" si="11"/>
        <v>0</v>
      </c>
      <c r="Z16" s="72"/>
    </row>
    <row r="17" spans="1:30" s="9" customFormat="1" x14ac:dyDescent="0.25">
      <c r="A17" s="3"/>
      <c r="B17" s="22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94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72"/>
    </row>
    <row r="18" spans="1:30" s="9" customFormat="1" x14ac:dyDescent="0.25">
      <c r="A18" s="3"/>
      <c r="B18" s="22"/>
      <c r="C18" s="88" t="s">
        <v>383</v>
      </c>
      <c r="D18" s="89"/>
      <c r="E18" s="89"/>
      <c r="F18" s="89"/>
      <c r="G18" s="89"/>
      <c r="H18" s="89"/>
      <c r="I18" s="89"/>
      <c r="J18" s="89"/>
      <c r="K18" s="89"/>
      <c r="L18" s="89"/>
      <c r="M18" s="94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72"/>
    </row>
    <row r="19" spans="1:30" s="9" customFormat="1" x14ac:dyDescent="0.25">
      <c r="A19" s="6">
        <f>A15+1</f>
        <v>9</v>
      </c>
      <c r="B19" s="14">
        <v>507</v>
      </c>
      <c r="C19" s="6" t="s">
        <v>74</v>
      </c>
      <c r="D19" s="7">
        <f>2200000-390000</f>
        <v>1810000</v>
      </c>
      <c r="E19" s="7">
        <v>2200000</v>
      </c>
      <c r="F19" s="7">
        <f>D19-E19</f>
        <v>-390000</v>
      </c>
      <c r="G19" s="7">
        <v>1810000</v>
      </c>
      <c r="H19" s="234">
        <v>1653104</v>
      </c>
      <c r="I19" s="7">
        <v>11432.19</v>
      </c>
      <c r="J19" s="7"/>
      <c r="K19" s="7">
        <f>SUM(I19:J19)</f>
        <v>11432.19</v>
      </c>
      <c r="L19" s="7">
        <f>H19+K19</f>
        <v>1664536.19</v>
      </c>
      <c r="M19" s="15">
        <f>P19+S19</f>
        <v>145463.81000000006</v>
      </c>
      <c r="N19" s="7"/>
      <c r="O19" s="7">
        <f>D19-L19-M19-N19</f>
        <v>0</v>
      </c>
      <c r="P19" s="7">
        <f>G19-L19</f>
        <v>145463.81000000006</v>
      </c>
      <c r="Q19" s="7"/>
      <c r="R19" s="7"/>
      <c r="S19" s="7">
        <f>SUM(Q19:R19)</f>
        <v>0</v>
      </c>
      <c r="T19" s="7">
        <f>P19-M19+S19</f>
        <v>0</v>
      </c>
      <c r="U19" s="7">
        <f>N19-T19</f>
        <v>0</v>
      </c>
      <c r="V19" s="7">
        <f>U19-Y19-W19-X19</f>
        <v>0</v>
      </c>
      <c r="W19" s="7"/>
      <c r="X19" s="7"/>
      <c r="Y19" s="6"/>
      <c r="Z19" s="71"/>
      <c r="AB19" s="8">
        <v>742000</v>
      </c>
    </row>
    <row r="20" spans="1:30" s="8" customFormat="1" x14ac:dyDescent="0.25">
      <c r="A20" s="6">
        <f>A19+1</f>
        <v>10</v>
      </c>
      <c r="B20" s="105">
        <v>1032</v>
      </c>
      <c r="C20" s="104" t="s">
        <v>612</v>
      </c>
      <c r="D20" s="106">
        <v>40500000</v>
      </c>
      <c r="E20" s="106">
        <v>40500000</v>
      </c>
      <c r="F20" s="106">
        <f>D20-E20</f>
        <v>0</v>
      </c>
      <c r="G20" s="106">
        <v>19360000</v>
      </c>
      <c r="H20" s="235">
        <v>16278123</v>
      </c>
      <c r="I20" s="235">
        <v>1387566</v>
      </c>
      <c r="J20" s="235">
        <v>773485</v>
      </c>
      <c r="K20" s="106">
        <f>SUM(I20:J20)</f>
        <v>2161051</v>
      </c>
      <c r="L20" s="106">
        <f>H20+K20</f>
        <v>18439174</v>
      </c>
      <c r="M20" s="98">
        <f>P20+S20</f>
        <v>920826</v>
      </c>
      <c r="N20" s="106">
        <f>6000000-3000000-1000000</f>
        <v>2000000</v>
      </c>
      <c r="O20" s="106">
        <f>D20-L20-M20-N20</f>
        <v>19140000</v>
      </c>
      <c r="P20" s="106">
        <f>G20-L20</f>
        <v>920826</v>
      </c>
      <c r="Q20" s="106"/>
      <c r="R20" s="106"/>
      <c r="S20" s="106">
        <f>SUM(Q20:R20)</f>
        <v>0</v>
      </c>
      <c r="T20" s="106">
        <f>P20-M20+S20</f>
        <v>0</v>
      </c>
      <c r="U20" s="106">
        <f>N20-T20</f>
        <v>2000000</v>
      </c>
      <c r="V20" s="106">
        <f>U20-Y20-W20-X20</f>
        <v>1900000</v>
      </c>
      <c r="W20" s="106">
        <f>150000-50000</f>
        <v>100000</v>
      </c>
      <c r="X20" s="106"/>
      <c r="Y20" s="104"/>
      <c r="Z20" s="107"/>
      <c r="AA20" s="9"/>
      <c r="AB20" s="8">
        <v>742000</v>
      </c>
      <c r="AC20" s="9"/>
      <c r="AD20" s="9"/>
    </row>
    <row r="21" spans="1:30" s="8" customFormat="1" x14ac:dyDescent="0.25">
      <c r="A21" s="6">
        <f t="shared" ref="A21:A22" si="12">A20+1</f>
        <v>11</v>
      </c>
      <c r="B21" s="14">
        <v>1097</v>
      </c>
      <c r="C21" s="6" t="s">
        <v>584</v>
      </c>
      <c r="D21" s="7">
        <v>1430000</v>
      </c>
      <c r="E21" s="7">
        <v>1430000</v>
      </c>
      <c r="F21" s="7">
        <v>200000</v>
      </c>
      <c r="G21" s="7">
        <v>1130000</v>
      </c>
      <c r="H21" s="7">
        <v>1123289.6000000001</v>
      </c>
      <c r="I21" s="7"/>
      <c r="J21" s="7"/>
      <c r="K21" s="7">
        <f>SUM(I21:J21)</f>
        <v>0</v>
      </c>
      <c r="L21" s="7">
        <f>H21+K21</f>
        <v>1123289.6000000001</v>
      </c>
      <c r="M21" s="15">
        <f>P21+S21</f>
        <v>6710.3999999999069</v>
      </c>
      <c r="N21" s="7">
        <v>500000</v>
      </c>
      <c r="O21" s="7">
        <f>D21-L21-M21-N21</f>
        <v>-200000</v>
      </c>
      <c r="P21" s="7">
        <f>G21-L21</f>
        <v>6710.3999999999069</v>
      </c>
      <c r="Q21" s="7"/>
      <c r="R21" s="7"/>
      <c r="S21" s="7">
        <f>SUM(Q21:R21)</f>
        <v>0</v>
      </c>
      <c r="T21" s="7">
        <f>P21-M21+S21</f>
        <v>0</v>
      </c>
      <c r="U21" s="7">
        <f>N21-T21</f>
        <v>500000</v>
      </c>
      <c r="V21" s="7">
        <f>U21-Y21-W21-X21</f>
        <v>500000</v>
      </c>
      <c r="W21" s="7"/>
      <c r="X21" s="7"/>
      <c r="Y21" s="6"/>
      <c r="Z21" s="71"/>
      <c r="AB21" s="8">
        <v>742000</v>
      </c>
    </row>
    <row r="22" spans="1:30" s="9" customFormat="1" x14ac:dyDescent="0.25">
      <c r="A22" s="6">
        <f t="shared" si="12"/>
        <v>12</v>
      </c>
      <c r="B22" s="14">
        <v>1130</v>
      </c>
      <c r="C22" s="6" t="s">
        <v>53</v>
      </c>
      <c r="D22" s="7">
        <v>11881894</v>
      </c>
      <c r="E22" s="7">
        <v>8881894</v>
      </c>
      <c r="F22" s="7">
        <f>D22-E22</f>
        <v>3000000</v>
      </c>
      <c r="G22" s="7">
        <v>7881894</v>
      </c>
      <c r="H22" s="234">
        <v>6870835</v>
      </c>
      <c r="I22" s="234">
        <v>1784721</v>
      </c>
      <c r="J22" s="7"/>
      <c r="K22" s="7">
        <f>SUM(I22:J22)</f>
        <v>1784721</v>
      </c>
      <c r="L22" s="7">
        <f>H22+K22</f>
        <v>8655556</v>
      </c>
      <c r="M22" s="15">
        <f>P22+S22</f>
        <v>226338</v>
      </c>
      <c r="N22" s="7">
        <f>3000000-1000000</f>
        <v>2000000</v>
      </c>
      <c r="O22" s="7">
        <f>D22-L22-M22-N22</f>
        <v>1000000</v>
      </c>
      <c r="P22" s="7">
        <f>G22-L22</f>
        <v>-773662</v>
      </c>
      <c r="Q22" s="7">
        <v>1000000</v>
      </c>
      <c r="R22" s="7"/>
      <c r="S22" s="7">
        <f>SUM(Q22:R22)</f>
        <v>1000000</v>
      </c>
      <c r="T22" s="7">
        <f>P22-M22+S22</f>
        <v>0</v>
      </c>
      <c r="U22" s="7">
        <f>N22-T22</f>
        <v>2000000</v>
      </c>
      <c r="V22" s="7">
        <f>U22-Y22-W22-X22</f>
        <v>2000000</v>
      </c>
      <c r="W22" s="7"/>
      <c r="X22" s="7"/>
      <c r="Y22" s="6"/>
      <c r="Z22" s="71"/>
      <c r="AA22" s="8"/>
      <c r="AB22" s="8">
        <v>742000</v>
      </c>
      <c r="AC22" s="8"/>
      <c r="AD22" s="8"/>
    </row>
    <row r="23" spans="1:30" s="9" customFormat="1" x14ac:dyDescent="0.25">
      <c r="A23" s="3"/>
      <c r="B23" s="22"/>
      <c r="C23" s="88" t="s">
        <v>384</v>
      </c>
      <c r="D23" s="89">
        <f>SUM(D19:D22)</f>
        <v>55621894</v>
      </c>
      <c r="E23" s="89">
        <f t="shared" ref="E23:Y23" si="13">SUM(E19:E22)</f>
        <v>53011894</v>
      </c>
      <c r="F23" s="89">
        <f t="shared" si="13"/>
        <v>2810000</v>
      </c>
      <c r="G23" s="89">
        <f t="shared" si="13"/>
        <v>30181894</v>
      </c>
      <c r="H23" s="89">
        <f t="shared" si="13"/>
        <v>25925351.600000001</v>
      </c>
      <c r="I23" s="89">
        <f t="shared" si="13"/>
        <v>3183719.19</v>
      </c>
      <c r="J23" s="89">
        <f t="shared" si="13"/>
        <v>773485</v>
      </c>
      <c r="K23" s="89">
        <f t="shared" si="13"/>
        <v>3957204.19</v>
      </c>
      <c r="L23" s="89">
        <f t="shared" si="13"/>
        <v>29882555.790000003</v>
      </c>
      <c r="M23" s="94">
        <f t="shared" si="13"/>
        <v>1299338.21</v>
      </c>
      <c r="N23" s="89">
        <f t="shared" si="13"/>
        <v>4500000</v>
      </c>
      <c r="O23" s="89">
        <f t="shared" si="13"/>
        <v>19940000</v>
      </c>
      <c r="P23" s="89">
        <f t="shared" si="13"/>
        <v>299338.20999999996</v>
      </c>
      <c r="Q23" s="89">
        <f t="shared" si="13"/>
        <v>1000000</v>
      </c>
      <c r="R23" s="89">
        <f t="shared" si="13"/>
        <v>0</v>
      </c>
      <c r="S23" s="89">
        <f t="shared" si="13"/>
        <v>1000000</v>
      </c>
      <c r="T23" s="89">
        <f t="shared" si="13"/>
        <v>0</v>
      </c>
      <c r="U23" s="89">
        <f t="shared" si="13"/>
        <v>4500000</v>
      </c>
      <c r="V23" s="89">
        <f t="shared" si="13"/>
        <v>4400000</v>
      </c>
      <c r="W23" s="89">
        <f t="shared" si="13"/>
        <v>100000</v>
      </c>
      <c r="X23" s="89">
        <f t="shared" si="13"/>
        <v>0</v>
      </c>
      <c r="Y23" s="89">
        <f t="shared" si="13"/>
        <v>0</v>
      </c>
      <c r="Z23" s="89">
        <f t="shared" ref="Z23" si="14">SUM(Z20:Z22)</f>
        <v>0</v>
      </c>
    </row>
    <row r="24" spans="1:30" s="9" customFormat="1" x14ac:dyDescent="0.25">
      <c r="A24" s="3"/>
      <c r="B24" s="22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94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30" s="8" customFormat="1" x14ac:dyDescent="0.25">
      <c r="A25" s="6"/>
      <c r="B25" s="14"/>
      <c r="C25" s="88" t="s">
        <v>385</v>
      </c>
      <c r="D25" s="7"/>
      <c r="E25" s="7"/>
      <c r="F25" s="7"/>
      <c r="G25" s="7"/>
      <c r="H25" s="7"/>
      <c r="I25" s="7"/>
      <c r="J25" s="7"/>
      <c r="K25" s="7"/>
      <c r="L25" s="7"/>
      <c r="M25" s="15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6"/>
      <c r="Z25" s="71"/>
    </row>
    <row r="26" spans="1:30" s="9" customFormat="1" x14ac:dyDescent="0.25">
      <c r="A26" s="6">
        <f>A22+1</f>
        <v>13</v>
      </c>
      <c r="B26" s="14">
        <v>1529</v>
      </c>
      <c r="C26" s="6" t="s">
        <v>583</v>
      </c>
      <c r="D26" s="7">
        <v>200000</v>
      </c>
      <c r="E26" s="7">
        <v>200000</v>
      </c>
      <c r="F26" s="7">
        <f t="shared" ref="F26" si="15">D26-E26</f>
        <v>0</v>
      </c>
      <c r="G26" s="7">
        <v>200000</v>
      </c>
      <c r="H26" s="7">
        <v>110179.55</v>
      </c>
      <c r="I26" s="7"/>
      <c r="J26" s="7"/>
      <c r="K26" s="7">
        <f t="shared" ref="K26" si="16">SUM(I26:J26)</f>
        <v>0</v>
      </c>
      <c r="L26" s="7">
        <f t="shared" ref="L26" si="17">H26+K26</f>
        <v>110179.55</v>
      </c>
      <c r="M26" s="15">
        <f t="shared" ref="M26" si="18">P26+S26</f>
        <v>89820.45</v>
      </c>
      <c r="N26" s="7"/>
      <c r="O26" s="7">
        <f t="shared" ref="O26" si="19">D26-L26-M26-N26</f>
        <v>0</v>
      </c>
      <c r="P26" s="7">
        <f t="shared" ref="P26" si="20">G26-L26</f>
        <v>89820.45</v>
      </c>
      <c r="Q26" s="7"/>
      <c r="R26" s="7"/>
      <c r="S26" s="7">
        <f t="shared" ref="S26" si="21">SUM(Q26:R26)</f>
        <v>0</v>
      </c>
      <c r="T26" s="7">
        <f t="shared" ref="T26" si="22">P26-M26+S26</f>
        <v>0</v>
      </c>
      <c r="U26" s="7">
        <f t="shared" ref="U26" si="23">N26-T26</f>
        <v>0</v>
      </c>
      <c r="V26" s="7">
        <f t="shared" ref="V26" si="24">U26-Y26-W26-X26</f>
        <v>0</v>
      </c>
      <c r="W26" s="7"/>
      <c r="X26" s="7"/>
      <c r="Y26" s="6"/>
      <c r="Z26" s="71"/>
      <c r="AB26" s="8">
        <v>760000</v>
      </c>
    </row>
    <row r="27" spans="1:30" s="9" customFormat="1" x14ac:dyDescent="0.25">
      <c r="A27" s="3"/>
      <c r="B27" s="22"/>
      <c r="C27" s="88" t="s">
        <v>386</v>
      </c>
      <c r="D27" s="89">
        <f t="shared" ref="D27:Y27" si="25">SUM(D26:D26)</f>
        <v>200000</v>
      </c>
      <c r="E27" s="89">
        <f t="shared" si="25"/>
        <v>200000</v>
      </c>
      <c r="F27" s="89">
        <f t="shared" si="25"/>
        <v>0</v>
      </c>
      <c r="G27" s="89">
        <f t="shared" si="25"/>
        <v>200000</v>
      </c>
      <c r="H27" s="89">
        <f t="shared" si="25"/>
        <v>110179.55</v>
      </c>
      <c r="I27" s="89">
        <f t="shared" si="25"/>
        <v>0</v>
      </c>
      <c r="J27" s="89">
        <f t="shared" si="25"/>
        <v>0</v>
      </c>
      <c r="K27" s="89">
        <f t="shared" si="25"/>
        <v>0</v>
      </c>
      <c r="L27" s="89">
        <f t="shared" si="25"/>
        <v>110179.55</v>
      </c>
      <c r="M27" s="94">
        <f t="shared" si="25"/>
        <v>89820.45</v>
      </c>
      <c r="N27" s="89">
        <f t="shared" si="25"/>
        <v>0</v>
      </c>
      <c r="O27" s="89">
        <f t="shared" si="25"/>
        <v>0</v>
      </c>
      <c r="P27" s="89">
        <f t="shared" si="25"/>
        <v>89820.45</v>
      </c>
      <c r="Q27" s="89">
        <f t="shared" si="25"/>
        <v>0</v>
      </c>
      <c r="R27" s="89">
        <f t="shared" si="25"/>
        <v>0</v>
      </c>
      <c r="S27" s="89">
        <f t="shared" si="25"/>
        <v>0</v>
      </c>
      <c r="T27" s="89">
        <f t="shared" si="25"/>
        <v>0</v>
      </c>
      <c r="U27" s="89">
        <f t="shared" si="25"/>
        <v>0</v>
      </c>
      <c r="V27" s="89">
        <f t="shared" si="25"/>
        <v>0</v>
      </c>
      <c r="W27" s="89">
        <f t="shared" si="25"/>
        <v>0</v>
      </c>
      <c r="X27" s="89">
        <f t="shared" si="25"/>
        <v>0</v>
      </c>
      <c r="Y27" s="89">
        <f t="shared" si="25"/>
        <v>0</v>
      </c>
      <c r="Z27" s="72"/>
    </row>
    <row r="28" spans="1:30" s="9" customFormat="1" x14ac:dyDescent="0.25">
      <c r="A28" s="3"/>
      <c r="B28" s="22"/>
      <c r="C28" s="88"/>
      <c r="D28" s="89"/>
      <c r="E28" s="89"/>
      <c r="F28" s="89"/>
      <c r="G28" s="89"/>
      <c r="H28" s="89"/>
      <c r="I28" s="89"/>
      <c r="J28" s="89"/>
      <c r="K28" s="89"/>
      <c r="L28" s="89"/>
      <c r="M28" s="94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30" s="9" customFormat="1" x14ac:dyDescent="0.25">
      <c r="A29" s="3"/>
      <c r="B29" s="22"/>
      <c r="C29" s="88" t="s">
        <v>387</v>
      </c>
      <c r="D29" s="89"/>
      <c r="E29" s="89"/>
      <c r="F29" s="89"/>
      <c r="G29" s="89"/>
      <c r="H29" s="89"/>
      <c r="I29" s="89"/>
      <c r="J29" s="89"/>
      <c r="K29" s="89"/>
      <c r="L29" s="89"/>
      <c r="M29" s="94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30" s="8" customFormat="1" x14ac:dyDescent="0.25">
      <c r="A30" s="6">
        <f>A26+1</f>
        <v>14</v>
      </c>
      <c r="B30" s="14">
        <v>304</v>
      </c>
      <c r="C30" s="6" t="s">
        <v>104</v>
      </c>
      <c r="D30" s="7">
        <v>54950000</v>
      </c>
      <c r="E30" s="7">
        <v>54950000</v>
      </c>
      <c r="F30" s="7">
        <f t="shared" ref="F30:F60" si="26">D30-E30</f>
        <v>0</v>
      </c>
      <c r="G30" s="7">
        <v>54950000</v>
      </c>
      <c r="H30" s="7">
        <v>54780522.609999999</v>
      </c>
      <c r="I30" s="7">
        <v>18602.89</v>
      </c>
      <c r="J30" s="7">
        <v>149074.13</v>
      </c>
      <c r="K30" s="7">
        <f t="shared" ref="K30:K60" si="27">SUM(I30:J30)</f>
        <v>167677.02000000002</v>
      </c>
      <c r="L30" s="7">
        <f t="shared" ref="L30:L60" si="28">H30+K30</f>
        <v>54948199.630000003</v>
      </c>
      <c r="M30" s="15">
        <f t="shared" ref="M30:M62" si="29">P30+S30</f>
        <v>1800.3699999973178</v>
      </c>
      <c r="N30" s="7"/>
      <c r="O30" s="7">
        <f t="shared" ref="O30:O60" si="30">D30-L30-M30-N30</f>
        <v>0</v>
      </c>
      <c r="P30" s="7">
        <f t="shared" ref="P30:P60" si="31">G30-L30</f>
        <v>1800.3699999973178</v>
      </c>
      <c r="Q30" s="7"/>
      <c r="R30" s="7"/>
      <c r="S30" s="7">
        <f t="shared" ref="S30:S60" si="32">SUM(Q30:R30)</f>
        <v>0</v>
      </c>
      <c r="T30" s="7">
        <f t="shared" ref="T30:T60" si="33">P30-M30+S30</f>
        <v>0</v>
      </c>
      <c r="U30" s="7">
        <f t="shared" ref="U30:U60" si="34">N30-T30</f>
        <v>0</v>
      </c>
      <c r="V30" s="7">
        <f t="shared" ref="V30:V60" si="35">U30-Y30-W30-X30</f>
        <v>0</v>
      </c>
      <c r="W30" s="7"/>
      <c r="X30" s="7"/>
      <c r="Y30" s="6"/>
      <c r="Z30" s="71"/>
      <c r="AB30" s="8">
        <v>746000</v>
      </c>
    </row>
    <row r="31" spans="1:30" s="8" customFormat="1" x14ac:dyDescent="0.25">
      <c r="A31" s="6">
        <f>A30+1</f>
        <v>15</v>
      </c>
      <c r="B31" s="14">
        <v>502</v>
      </c>
      <c r="C31" s="6" t="s">
        <v>105</v>
      </c>
      <c r="D31" s="7">
        <v>63700000</v>
      </c>
      <c r="E31" s="7">
        <v>63700000</v>
      </c>
      <c r="F31" s="7">
        <f t="shared" si="26"/>
        <v>0</v>
      </c>
      <c r="G31" s="7">
        <v>63183000</v>
      </c>
      <c r="H31" s="7">
        <v>63178078.729999997</v>
      </c>
      <c r="I31" s="7">
        <v>4635.8500000000004</v>
      </c>
      <c r="J31" s="7">
        <v>71.040000000000006</v>
      </c>
      <c r="K31" s="7">
        <f t="shared" si="27"/>
        <v>4706.8900000000003</v>
      </c>
      <c r="L31" s="7">
        <f t="shared" si="28"/>
        <v>63182785.619999997</v>
      </c>
      <c r="M31" s="15">
        <f t="shared" si="29"/>
        <v>214.38000000268221</v>
      </c>
      <c r="N31" s="7"/>
      <c r="O31" s="7">
        <f t="shared" si="30"/>
        <v>517000</v>
      </c>
      <c r="P31" s="7">
        <f t="shared" si="31"/>
        <v>214.38000000268221</v>
      </c>
      <c r="Q31" s="7"/>
      <c r="R31" s="7"/>
      <c r="S31" s="7">
        <f t="shared" si="32"/>
        <v>0</v>
      </c>
      <c r="T31" s="7">
        <f t="shared" si="33"/>
        <v>0</v>
      </c>
      <c r="U31" s="7">
        <f t="shared" si="34"/>
        <v>0</v>
      </c>
      <c r="V31" s="7">
        <f t="shared" si="35"/>
        <v>0</v>
      </c>
      <c r="W31" s="7"/>
      <c r="X31" s="7"/>
      <c r="Y31" s="6"/>
      <c r="Z31" s="71"/>
      <c r="AB31" s="8">
        <v>742000</v>
      </c>
    </row>
    <row r="32" spans="1:30" s="9" customFormat="1" x14ac:dyDescent="0.25">
      <c r="A32" s="6">
        <f>A31+1</f>
        <v>16</v>
      </c>
      <c r="B32" s="14">
        <v>546</v>
      </c>
      <c r="C32" s="6" t="s">
        <v>75</v>
      </c>
      <c r="D32" s="7">
        <v>5850000</v>
      </c>
      <c r="E32" s="7">
        <v>5850000</v>
      </c>
      <c r="F32" s="7">
        <f t="shared" si="26"/>
        <v>0</v>
      </c>
      <c r="G32" s="7">
        <v>4550000</v>
      </c>
      <c r="H32" s="7">
        <v>2867729.4</v>
      </c>
      <c r="I32" s="7">
        <v>46026.75</v>
      </c>
      <c r="J32" s="7"/>
      <c r="K32" s="7">
        <f t="shared" si="27"/>
        <v>46026.75</v>
      </c>
      <c r="L32" s="7">
        <f t="shared" si="28"/>
        <v>2913756.15</v>
      </c>
      <c r="M32" s="15">
        <f>P32+S32-1000000</f>
        <v>636243.85000000009</v>
      </c>
      <c r="N32" s="7"/>
      <c r="O32" s="7">
        <f t="shared" si="30"/>
        <v>2300000</v>
      </c>
      <c r="P32" s="7">
        <f t="shared" si="31"/>
        <v>1636243.85</v>
      </c>
      <c r="Q32" s="7"/>
      <c r="R32" s="7"/>
      <c r="S32" s="7">
        <f t="shared" si="32"/>
        <v>0</v>
      </c>
      <c r="T32" s="7">
        <f t="shared" si="33"/>
        <v>1000000</v>
      </c>
      <c r="U32" s="7">
        <f t="shared" si="34"/>
        <v>-1000000</v>
      </c>
      <c r="V32" s="7">
        <f t="shared" si="35"/>
        <v>-1000000</v>
      </c>
      <c r="W32" s="7"/>
      <c r="X32" s="7"/>
      <c r="Y32" s="6"/>
      <c r="Z32" s="71"/>
      <c r="AA32" s="8"/>
      <c r="AB32" s="8">
        <v>742000</v>
      </c>
      <c r="AC32" s="8"/>
      <c r="AD32" s="8"/>
    </row>
    <row r="33" spans="1:30" s="8" customFormat="1" x14ac:dyDescent="0.25">
      <c r="A33" s="6">
        <f t="shared" ref="A33:A77" si="36">A32+1</f>
        <v>17</v>
      </c>
      <c r="B33" s="14">
        <v>631</v>
      </c>
      <c r="C33" s="6" t="s">
        <v>107</v>
      </c>
      <c r="D33" s="7">
        <v>7445000</v>
      </c>
      <c r="E33" s="7">
        <v>7445000</v>
      </c>
      <c r="F33" s="7">
        <f t="shared" si="26"/>
        <v>0</v>
      </c>
      <c r="G33" s="7">
        <v>7105000</v>
      </c>
      <c r="H33" s="7">
        <v>7030689.3200000003</v>
      </c>
      <c r="I33" s="7">
        <v>27554.53</v>
      </c>
      <c r="J33" s="7"/>
      <c r="K33" s="7">
        <f t="shared" si="27"/>
        <v>27554.53</v>
      </c>
      <c r="L33" s="7">
        <f t="shared" si="28"/>
        <v>7058243.8500000006</v>
      </c>
      <c r="M33" s="15">
        <f t="shared" si="29"/>
        <v>46756.149999999441</v>
      </c>
      <c r="N33" s="7"/>
      <c r="O33" s="7">
        <f t="shared" si="30"/>
        <v>340000</v>
      </c>
      <c r="P33" s="7">
        <f t="shared" si="31"/>
        <v>46756.149999999441</v>
      </c>
      <c r="Q33" s="7"/>
      <c r="R33" s="7"/>
      <c r="S33" s="7">
        <f t="shared" si="32"/>
        <v>0</v>
      </c>
      <c r="T33" s="7">
        <f t="shared" si="33"/>
        <v>0</v>
      </c>
      <c r="U33" s="7">
        <f t="shared" si="34"/>
        <v>0</v>
      </c>
      <c r="V33" s="7">
        <f t="shared" si="35"/>
        <v>0</v>
      </c>
      <c r="W33" s="7"/>
      <c r="X33" s="7"/>
      <c r="Y33" s="6"/>
      <c r="Z33" s="71"/>
      <c r="AB33" s="8">
        <v>742000</v>
      </c>
    </row>
    <row r="34" spans="1:30" s="8" customFormat="1" x14ac:dyDescent="0.25">
      <c r="A34" s="6">
        <f t="shared" si="36"/>
        <v>18</v>
      </c>
      <c r="B34" s="14">
        <v>638</v>
      </c>
      <c r="C34" s="6" t="s">
        <v>77</v>
      </c>
      <c r="D34" s="7">
        <v>7000000</v>
      </c>
      <c r="E34" s="7">
        <v>7000000</v>
      </c>
      <c r="F34" s="7">
        <f t="shared" si="26"/>
        <v>0</v>
      </c>
      <c r="G34" s="7">
        <v>5000000</v>
      </c>
      <c r="H34" s="7">
        <v>3225871.96</v>
      </c>
      <c r="I34" s="7">
        <v>293697.05</v>
      </c>
      <c r="J34" s="7">
        <v>76658.78</v>
      </c>
      <c r="K34" s="7">
        <f t="shared" si="27"/>
        <v>370355.82999999996</v>
      </c>
      <c r="L34" s="7">
        <f t="shared" si="28"/>
        <v>3596227.79</v>
      </c>
      <c r="M34" s="15">
        <f>P34+S34-400000</f>
        <v>1003772.21</v>
      </c>
      <c r="N34" s="7"/>
      <c r="O34" s="7">
        <f t="shared" si="30"/>
        <v>2400000</v>
      </c>
      <c r="P34" s="7">
        <f t="shared" si="31"/>
        <v>1403772.21</v>
      </c>
      <c r="Q34" s="7"/>
      <c r="R34" s="7"/>
      <c r="S34" s="7">
        <f t="shared" si="32"/>
        <v>0</v>
      </c>
      <c r="T34" s="7">
        <f t="shared" si="33"/>
        <v>400000</v>
      </c>
      <c r="U34" s="7">
        <f t="shared" si="34"/>
        <v>-400000</v>
      </c>
      <c r="V34" s="7">
        <f t="shared" si="35"/>
        <v>-400000</v>
      </c>
      <c r="W34" s="7"/>
      <c r="X34" s="7"/>
      <c r="Y34" s="6"/>
      <c r="Z34" s="71"/>
      <c r="AA34" s="9"/>
      <c r="AB34" s="8">
        <v>742000</v>
      </c>
      <c r="AC34" s="9"/>
      <c r="AD34" s="9"/>
    </row>
    <row r="35" spans="1:30" s="8" customFormat="1" x14ac:dyDescent="0.25">
      <c r="A35" s="6">
        <f t="shared" si="36"/>
        <v>19</v>
      </c>
      <c r="B35" s="14">
        <v>1232</v>
      </c>
      <c r="C35" s="6" t="s">
        <v>109</v>
      </c>
      <c r="D35" s="7">
        <v>5750000</v>
      </c>
      <c r="E35" s="7">
        <v>5750000</v>
      </c>
      <c r="F35" s="7">
        <f t="shared" si="26"/>
        <v>0</v>
      </c>
      <c r="G35" s="7">
        <v>4900000</v>
      </c>
      <c r="H35" s="234">
        <v>3966807</v>
      </c>
      <c r="I35" s="234">
        <v>56956</v>
      </c>
      <c r="J35" s="234">
        <v>567458.63</v>
      </c>
      <c r="K35" s="7">
        <f t="shared" si="27"/>
        <v>624414.63</v>
      </c>
      <c r="L35" s="7">
        <f t="shared" si="28"/>
        <v>4591221.63</v>
      </c>
      <c r="M35" s="15">
        <f t="shared" si="29"/>
        <v>308778.37000000011</v>
      </c>
      <c r="N35" s="7"/>
      <c r="O35" s="7">
        <f t="shared" si="30"/>
        <v>850000</v>
      </c>
      <c r="P35" s="7">
        <f t="shared" si="31"/>
        <v>308778.37000000011</v>
      </c>
      <c r="Q35" s="7"/>
      <c r="R35" s="7"/>
      <c r="S35" s="7">
        <f t="shared" si="32"/>
        <v>0</v>
      </c>
      <c r="T35" s="7">
        <f t="shared" si="33"/>
        <v>0</v>
      </c>
      <c r="U35" s="7">
        <f t="shared" si="34"/>
        <v>0</v>
      </c>
      <c r="V35" s="7">
        <f t="shared" si="35"/>
        <v>0</v>
      </c>
      <c r="W35" s="7"/>
      <c r="X35" s="7"/>
      <c r="Y35" s="6"/>
      <c r="Z35" s="71"/>
      <c r="AA35" s="9"/>
      <c r="AB35" s="8">
        <v>815000</v>
      </c>
      <c r="AC35" s="9"/>
      <c r="AD35" s="9"/>
    </row>
    <row r="36" spans="1:30" s="8" customFormat="1" x14ac:dyDescent="0.25">
      <c r="A36" s="6">
        <f t="shared" si="36"/>
        <v>20</v>
      </c>
      <c r="B36" s="14">
        <v>1268</v>
      </c>
      <c r="C36" s="6" t="s">
        <v>78</v>
      </c>
      <c r="D36" s="7">
        <v>11200000</v>
      </c>
      <c r="E36" s="7">
        <v>11200000</v>
      </c>
      <c r="F36" s="7">
        <f t="shared" si="26"/>
        <v>0</v>
      </c>
      <c r="G36" s="7">
        <v>11200000</v>
      </c>
      <c r="H36" s="7">
        <v>7440460.5199999996</v>
      </c>
      <c r="I36" s="7">
        <v>63597.279999999999</v>
      </c>
      <c r="J36" s="7">
        <v>3381504.25</v>
      </c>
      <c r="K36" s="7">
        <f t="shared" si="27"/>
        <v>3445101.53</v>
      </c>
      <c r="L36" s="7">
        <f t="shared" si="28"/>
        <v>10885562.049999999</v>
      </c>
      <c r="M36" s="15">
        <f t="shared" si="29"/>
        <v>314437.95000000112</v>
      </c>
      <c r="N36" s="7"/>
      <c r="O36" s="7">
        <f t="shared" si="30"/>
        <v>0</v>
      </c>
      <c r="P36" s="7">
        <f t="shared" si="31"/>
        <v>314437.95000000112</v>
      </c>
      <c r="Q36" s="7"/>
      <c r="R36" s="7"/>
      <c r="S36" s="7">
        <f t="shared" si="32"/>
        <v>0</v>
      </c>
      <c r="T36" s="7">
        <f t="shared" si="33"/>
        <v>0</v>
      </c>
      <c r="U36" s="7">
        <f t="shared" si="34"/>
        <v>0</v>
      </c>
      <c r="V36" s="7">
        <f t="shared" si="35"/>
        <v>0</v>
      </c>
      <c r="W36" s="7"/>
      <c r="X36" s="7"/>
      <c r="Y36" s="6"/>
      <c r="Z36" s="71"/>
      <c r="AB36" s="8">
        <v>813200</v>
      </c>
    </row>
    <row r="37" spans="1:30" s="9" customFormat="1" x14ac:dyDescent="0.25">
      <c r="A37" s="6">
        <f t="shared" si="36"/>
        <v>21</v>
      </c>
      <c r="B37" s="14">
        <v>1314</v>
      </c>
      <c r="C37" s="6" t="s">
        <v>79</v>
      </c>
      <c r="D37" s="7">
        <v>3200000</v>
      </c>
      <c r="E37" s="7">
        <v>3200000</v>
      </c>
      <c r="F37" s="7">
        <f t="shared" si="26"/>
        <v>0</v>
      </c>
      <c r="G37" s="7">
        <v>400000</v>
      </c>
      <c r="H37" s="7">
        <v>211446.69</v>
      </c>
      <c r="I37" s="7">
        <v>176809.66</v>
      </c>
      <c r="J37" s="7">
        <v>330</v>
      </c>
      <c r="K37" s="7">
        <f t="shared" si="27"/>
        <v>177139.66</v>
      </c>
      <c r="L37" s="7">
        <f t="shared" si="28"/>
        <v>388586.35</v>
      </c>
      <c r="M37" s="15">
        <f t="shared" si="29"/>
        <v>11413.650000000023</v>
      </c>
      <c r="N37" s="7"/>
      <c r="O37" s="7">
        <f t="shared" si="30"/>
        <v>2800000</v>
      </c>
      <c r="P37" s="7">
        <f t="shared" si="31"/>
        <v>11413.650000000023</v>
      </c>
      <c r="Q37" s="7"/>
      <c r="R37" s="7"/>
      <c r="S37" s="7">
        <f t="shared" si="32"/>
        <v>0</v>
      </c>
      <c r="T37" s="7">
        <f t="shared" si="33"/>
        <v>0</v>
      </c>
      <c r="U37" s="7">
        <f t="shared" si="34"/>
        <v>0</v>
      </c>
      <c r="V37" s="7">
        <f t="shared" si="35"/>
        <v>0</v>
      </c>
      <c r="W37" s="7"/>
      <c r="X37" s="7"/>
      <c r="Y37" s="6"/>
      <c r="Z37" s="71"/>
      <c r="AB37" s="8">
        <v>742000</v>
      </c>
    </row>
    <row r="38" spans="1:30" s="9" customFormat="1" x14ac:dyDescent="0.25">
      <c r="A38" s="6">
        <f t="shared" si="36"/>
        <v>22</v>
      </c>
      <c r="B38" s="14">
        <v>1316</v>
      </c>
      <c r="C38" s="6" t="s">
        <v>80</v>
      </c>
      <c r="D38" s="7">
        <v>2500000</v>
      </c>
      <c r="E38" s="7">
        <v>2500000</v>
      </c>
      <c r="F38" s="7">
        <f t="shared" si="26"/>
        <v>0</v>
      </c>
      <c r="G38" s="7">
        <v>330000</v>
      </c>
      <c r="H38" s="7">
        <v>149458.9</v>
      </c>
      <c r="I38" s="7">
        <v>63458.91</v>
      </c>
      <c r="J38" s="7"/>
      <c r="K38" s="7">
        <f t="shared" si="27"/>
        <v>63458.91</v>
      </c>
      <c r="L38" s="7">
        <f t="shared" si="28"/>
        <v>212917.81</v>
      </c>
      <c r="M38" s="15">
        <f t="shared" si="29"/>
        <v>117082.19</v>
      </c>
      <c r="N38" s="7"/>
      <c r="O38" s="7">
        <f t="shared" si="30"/>
        <v>2170000</v>
      </c>
      <c r="P38" s="7">
        <f t="shared" si="31"/>
        <v>117082.19</v>
      </c>
      <c r="Q38" s="7"/>
      <c r="R38" s="7"/>
      <c r="S38" s="7">
        <f t="shared" si="32"/>
        <v>0</v>
      </c>
      <c r="T38" s="7">
        <f t="shared" si="33"/>
        <v>0</v>
      </c>
      <c r="U38" s="7">
        <f t="shared" si="34"/>
        <v>0</v>
      </c>
      <c r="V38" s="7">
        <f t="shared" si="35"/>
        <v>0</v>
      </c>
      <c r="W38" s="7"/>
      <c r="X38" s="7"/>
      <c r="Y38" s="6"/>
      <c r="Z38" s="71"/>
      <c r="AB38" s="8">
        <v>746000</v>
      </c>
    </row>
    <row r="39" spans="1:30" s="8" customFormat="1" x14ac:dyDescent="0.25">
      <c r="A39" s="6">
        <f t="shared" si="36"/>
        <v>23</v>
      </c>
      <c r="B39" s="14">
        <v>1320</v>
      </c>
      <c r="C39" s="6" t="s">
        <v>81</v>
      </c>
      <c r="D39" s="7">
        <v>23500000</v>
      </c>
      <c r="E39" s="7">
        <v>23500000</v>
      </c>
      <c r="F39" s="7">
        <f t="shared" si="26"/>
        <v>0</v>
      </c>
      <c r="G39" s="7">
        <v>21700000</v>
      </c>
      <c r="H39" s="7">
        <v>20798410</v>
      </c>
      <c r="I39" s="7">
        <v>144069</v>
      </c>
      <c r="J39" s="7">
        <v>268296.53000000003</v>
      </c>
      <c r="K39" s="7">
        <f t="shared" si="27"/>
        <v>412365.53</v>
      </c>
      <c r="L39" s="7">
        <f t="shared" si="28"/>
        <v>21210775.530000001</v>
      </c>
      <c r="M39" s="15">
        <f t="shared" si="29"/>
        <v>489224.46999999881</v>
      </c>
      <c r="N39" s="7"/>
      <c r="O39" s="7">
        <f t="shared" si="30"/>
        <v>1800000</v>
      </c>
      <c r="P39" s="7">
        <f t="shared" si="31"/>
        <v>489224.46999999881</v>
      </c>
      <c r="Q39" s="7"/>
      <c r="R39" s="7"/>
      <c r="S39" s="7">
        <f t="shared" si="32"/>
        <v>0</v>
      </c>
      <c r="T39" s="7">
        <f t="shared" si="33"/>
        <v>0</v>
      </c>
      <c r="U39" s="7">
        <f t="shared" si="34"/>
        <v>0</v>
      </c>
      <c r="V39" s="7">
        <f t="shared" si="35"/>
        <v>0</v>
      </c>
      <c r="W39" s="7"/>
      <c r="X39" s="7"/>
      <c r="Y39" s="6"/>
      <c r="Z39" s="71"/>
      <c r="AA39" s="9"/>
      <c r="AB39" s="8">
        <v>746000</v>
      </c>
      <c r="AC39" s="9"/>
      <c r="AD39" s="9"/>
    </row>
    <row r="40" spans="1:30" s="9" customFormat="1" x14ac:dyDescent="0.25">
      <c r="A40" s="6">
        <f t="shared" si="36"/>
        <v>24</v>
      </c>
      <c r="B40" s="14">
        <v>1325</v>
      </c>
      <c r="C40" s="6" t="s">
        <v>83</v>
      </c>
      <c r="D40" s="7">
        <v>2100000</v>
      </c>
      <c r="E40" s="7">
        <v>2100000</v>
      </c>
      <c r="F40" s="7">
        <f t="shared" si="26"/>
        <v>0</v>
      </c>
      <c r="G40" s="7">
        <v>100000</v>
      </c>
      <c r="H40" s="7">
        <v>61748.2</v>
      </c>
      <c r="I40" s="7">
        <v>27617.66</v>
      </c>
      <c r="J40" s="7"/>
      <c r="K40" s="7">
        <f t="shared" si="27"/>
        <v>27617.66</v>
      </c>
      <c r="L40" s="7">
        <f t="shared" si="28"/>
        <v>89365.86</v>
      </c>
      <c r="M40" s="15">
        <f t="shared" si="29"/>
        <v>10634.14</v>
      </c>
      <c r="N40" s="7"/>
      <c r="O40" s="7">
        <f t="shared" si="30"/>
        <v>2000000</v>
      </c>
      <c r="P40" s="7">
        <f t="shared" si="31"/>
        <v>10634.14</v>
      </c>
      <c r="Q40" s="7"/>
      <c r="R40" s="7"/>
      <c r="S40" s="7">
        <f t="shared" si="32"/>
        <v>0</v>
      </c>
      <c r="T40" s="7">
        <f t="shared" si="33"/>
        <v>0</v>
      </c>
      <c r="U40" s="7">
        <f t="shared" si="34"/>
        <v>0</v>
      </c>
      <c r="V40" s="7">
        <f t="shared" si="35"/>
        <v>0</v>
      </c>
      <c r="W40" s="7"/>
      <c r="X40" s="7"/>
      <c r="Y40" s="6"/>
      <c r="Z40" s="71"/>
      <c r="AA40" s="8"/>
      <c r="AB40" s="8">
        <v>742000</v>
      </c>
      <c r="AC40" s="8"/>
      <c r="AD40" s="8"/>
    </row>
    <row r="41" spans="1:30" s="9" customFormat="1" x14ac:dyDescent="0.25">
      <c r="A41" s="6">
        <f t="shared" si="36"/>
        <v>25</v>
      </c>
      <c r="B41" s="14">
        <v>1357</v>
      </c>
      <c r="C41" s="6" t="s">
        <v>84</v>
      </c>
      <c r="D41" s="7">
        <v>25000000</v>
      </c>
      <c r="E41" s="7">
        <v>25000000</v>
      </c>
      <c r="F41" s="7">
        <f t="shared" si="26"/>
        <v>0</v>
      </c>
      <c r="G41" s="7">
        <v>12720000</v>
      </c>
      <c r="H41" s="7">
        <v>12414133.140000001</v>
      </c>
      <c r="I41" s="7">
        <v>70607.02</v>
      </c>
      <c r="J41" s="7">
        <v>209456.98</v>
      </c>
      <c r="K41" s="7">
        <f t="shared" si="27"/>
        <v>280064</v>
      </c>
      <c r="L41" s="7">
        <f t="shared" si="28"/>
        <v>12694197.140000001</v>
      </c>
      <c r="M41" s="15">
        <f t="shared" si="29"/>
        <v>25802.859999999404</v>
      </c>
      <c r="N41" s="15"/>
      <c r="O41" s="7">
        <f t="shared" si="30"/>
        <v>12280000</v>
      </c>
      <c r="P41" s="7">
        <f t="shared" si="31"/>
        <v>25802.859999999404</v>
      </c>
      <c r="Q41" s="7"/>
      <c r="R41" s="7"/>
      <c r="S41" s="7">
        <f t="shared" si="32"/>
        <v>0</v>
      </c>
      <c r="T41" s="7">
        <f t="shared" si="33"/>
        <v>0</v>
      </c>
      <c r="U41" s="7">
        <f t="shared" si="34"/>
        <v>0</v>
      </c>
      <c r="V41" s="7">
        <f t="shared" si="35"/>
        <v>0</v>
      </c>
      <c r="W41" s="7"/>
      <c r="X41" s="7"/>
      <c r="Y41" s="6"/>
      <c r="Z41" s="71"/>
      <c r="AA41" s="8"/>
      <c r="AB41" s="8">
        <v>829000</v>
      </c>
      <c r="AC41" s="8"/>
      <c r="AD41" s="8"/>
    </row>
    <row r="42" spans="1:30" s="9" customFormat="1" x14ac:dyDescent="0.25">
      <c r="A42" s="6">
        <f t="shared" si="36"/>
        <v>26</v>
      </c>
      <c r="B42" s="14">
        <v>1363</v>
      </c>
      <c r="C42" s="6" t="s">
        <v>58</v>
      </c>
      <c r="D42" s="7">
        <v>14000000</v>
      </c>
      <c r="E42" s="7">
        <v>14000000</v>
      </c>
      <c r="F42" s="7">
        <f t="shared" si="26"/>
        <v>0</v>
      </c>
      <c r="G42" s="7">
        <v>1050000</v>
      </c>
      <c r="H42" s="7">
        <v>432923.14</v>
      </c>
      <c r="I42" s="7">
        <v>322095.02</v>
      </c>
      <c r="J42" s="7"/>
      <c r="K42" s="7">
        <f t="shared" si="27"/>
        <v>322095.02</v>
      </c>
      <c r="L42" s="7">
        <f t="shared" si="28"/>
        <v>755018.16</v>
      </c>
      <c r="M42" s="15">
        <f t="shared" si="29"/>
        <v>294981.83999999997</v>
      </c>
      <c r="N42" s="7">
        <v>5000000</v>
      </c>
      <c r="O42" s="7">
        <f t="shared" si="30"/>
        <v>7950000</v>
      </c>
      <c r="P42" s="7">
        <f t="shared" si="31"/>
        <v>294981.83999999997</v>
      </c>
      <c r="Q42" s="7"/>
      <c r="R42" s="7"/>
      <c r="S42" s="7">
        <f t="shared" si="32"/>
        <v>0</v>
      </c>
      <c r="T42" s="7">
        <f t="shared" si="33"/>
        <v>0</v>
      </c>
      <c r="U42" s="7">
        <f t="shared" si="34"/>
        <v>5000000</v>
      </c>
      <c r="V42" s="7">
        <f t="shared" si="35"/>
        <v>5000000</v>
      </c>
      <c r="W42" s="7"/>
      <c r="X42" s="7"/>
      <c r="Y42" s="7"/>
      <c r="Z42" s="71"/>
      <c r="AA42" s="8"/>
      <c r="AB42" s="8">
        <v>742000</v>
      </c>
      <c r="AC42" s="8"/>
      <c r="AD42" s="8"/>
    </row>
    <row r="43" spans="1:30" s="8" customFormat="1" x14ac:dyDescent="0.25">
      <c r="A43" s="6">
        <f t="shared" si="36"/>
        <v>27</v>
      </c>
      <c r="B43" s="14">
        <v>1365</v>
      </c>
      <c r="C43" s="6" t="s">
        <v>85</v>
      </c>
      <c r="D43" s="7">
        <v>550000</v>
      </c>
      <c r="E43" s="7">
        <v>550000</v>
      </c>
      <c r="F43" s="7">
        <f t="shared" si="26"/>
        <v>0</v>
      </c>
      <c r="G43" s="7">
        <v>520000</v>
      </c>
      <c r="H43" s="7">
        <v>474012.55</v>
      </c>
      <c r="I43" s="7"/>
      <c r="J43" s="7">
        <v>40864.269999999997</v>
      </c>
      <c r="K43" s="7">
        <f t="shared" si="27"/>
        <v>40864.269999999997</v>
      </c>
      <c r="L43" s="7">
        <f t="shared" si="28"/>
        <v>514876.82</v>
      </c>
      <c r="M43" s="15">
        <f t="shared" si="29"/>
        <v>5123.179999999993</v>
      </c>
      <c r="N43" s="7"/>
      <c r="O43" s="7">
        <f t="shared" si="30"/>
        <v>30000</v>
      </c>
      <c r="P43" s="7">
        <f t="shared" si="31"/>
        <v>5123.179999999993</v>
      </c>
      <c r="Q43" s="7"/>
      <c r="R43" s="7"/>
      <c r="S43" s="7">
        <f t="shared" si="32"/>
        <v>0</v>
      </c>
      <c r="T43" s="7">
        <f t="shared" si="33"/>
        <v>0</v>
      </c>
      <c r="U43" s="7">
        <f t="shared" si="34"/>
        <v>0</v>
      </c>
      <c r="V43" s="7">
        <f t="shared" si="35"/>
        <v>0</v>
      </c>
      <c r="W43" s="7"/>
      <c r="X43" s="7"/>
      <c r="Y43" s="6"/>
      <c r="Z43" s="71"/>
      <c r="AB43" s="8">
        <v>742000</v>
      </c>
    </row>
    <row r="44" spans="1:30" s="8" customFormat="1" x14ac:dyDescent="0.25">
      <c r="A44" s="6">
        <f t="shared" si="36"/>
        <v>28</v>
      </c>
      <c r="B44" s="14">
        <v>1366</v>
      </c>
      <c r="C44" s="6" t="s">
        <v>632</v>
      </c>
      <c r="D44" s="7">
        <v>1500000</v>
      </c>
      <c r="E44" s="7">
        <v>1500000</v>
      </c>
      <c r="F44" s="7">
        <f t="shared" si="26"/>
        <v>0</v>
      </c>
      <c r="G44" s="7">
        <v>1150000</v>
      </c>
      <c r="H44" s="7">
        <v>639489.52</v>
      </c>
      <c r="I44" s="7">
        <v>254311.54</v>
      </c>
      <c r="J44" s="7"/>
      <c r="K44" s="7">
        <f t="shared" si="27"/>
        <v>254311.54</v>
      </c>
      <c r="L44" s="7">
        <f t="shared" si="28"/>
        <v>893801.06</v>
      </c>
      <c r="M44" s="15">
        <f t="shared" si="29"/>
        <v>256198.93999999994</v>
      </c>
      <c r="N44" s="7"/>
      <c r="O44" s="7">
        <f t="shared" si="30"/>
        <v>350000</v>
      </c>
      <c r="P44" s="7">
        <f t="shared" si="31"/>
        <v>256198.93999999994</v>
      </c>
      <c r="Q44" s="7"/>
      <c r="R44" s="7"/>
      <c r="S44" s="7">
        <f t="shared" si="32"/>
        <v>0</v>
      </c>
      <c r="T44" s="7">
        <f t="shared" si="33"/>
        <v>0</v>
      </c>
      <c r="U44" s="7">
        <f t="shared" si="34"/>
        <v>0</v>
      </c>
      <c r="V44" s="7">
        <f t="shared" si="35"/>
        <v>0</v>
      </c>
      <c r="W44" s="7"/>
      <c r="X44" s="7"/>
      <c r="Y44" s="7"/>
      <c r="Z44" s="71"/>
      <c r="AB44" s="8">
        <v>742000</v>
      </c>
    </row>
    <row r="45" spans="1:30" s="8" customFormat="1" x14ac:dyDescent="0.25">
      <c r="A45" s="6">
        <f t="shared" si="36"/>
        <v>29</v>
      </c>
      <c r="B45" s="14">
        <v>1395</v>
      </c>
      <c r="C45" s="6" t="s">
        <v>86</v>
      </c>
      <c r="D45" s="7">
        <v>4000000</v>
      </c>
      <c r="E45" s="7">
        <v>4000000</v>
      </c>
      <c r="F45" s="7">
        <f t="shared" si="26"/>
        <v>0</v>
      </c>
      <c r="G45" s="7">
        <v>2170000</v>
      </c>
      <c r="H45" s="7">
        <v>1591611.89</v>
      </c>
      <c r="I45" s="7">
        <v>47239.68</v>
      </c>
      <c r="J45" s="7"/>
      <c r="K45" s="7">
        <f t="shared" si="27"/>
        <v>47239.68</v>
      </c>
      <c r="L45" s="7">
        <f t="shared" si="28"/>
        <v>1638851.5699999998</v>
      </c>
      <c r="M45" s="15">
        <f t="shared" si="29"/>
        <v>531148.43000000017</v>
      </c>
      <c r="N45" s="7"/>
      <c r="O45" s="7">
        <f t="shared" si="30"/>
        <v>1830000</v>
      </c>
      <c r="P45" s="7">
        <f t="shared" si="31"/>
        <v>531148.43000000017</v>
      </c>
      <c r="Q45" s="7"/>
      <c r="R45" s="7"/>
      <c r="S45" s="7">
        <f t="shared" si="32"/>
        <v>0</v>
      </c>
      <c r="T45" s="7">
        <f t="shared" si="33"/>
        <v>0</v>
      </c>
      <c r="U45" s="7">
        <f t="shared" si="34"/>
        <v>0</v>
      </c>
      <c r="V45" s="7">
        <f t="shared" si="35"/>
        <v>0</v>
      </c>
      <c r="W45" s="7"/>
      <c r="X45" s="7"/>
      <c r="Y45" s="6"/>
      <c r="Z45" s="71"/>
      <c r="AB45" s="8">
        <v>731000</v>
      </c>
    </row>
    <row r="46" spans="1:30" s="8" customFormat="1" x14ac:dyDescent="0.25">
      <c r="A46" s="6">
        <f t="shared" si="36"/>
        <v>30</v>
      </c>
      <c r="B46" s="14">
        <v>1456</v>
      </c>
      <c r="C46" s="6" t="s">
        <v>633</v>
      </c>
      <c r="D46" s="7">
        <v>1400000</v>
      </c>
      <c r="E46" s="7">
        <v>1400000</v>
      </c>
      <c r="F46" s="7">
        <f t="shared" si="26"/>
        <v>0</v>
      </c>
      <c r="G46" s="7">
        <v>700000</v>
      </c>
      <c r="H46" s="7">
        <v>94334.18</v>
      </c>
      <c r="I46" s="7">
        <v>96635.89</v>
      </c>
      <c r="J46" s="7"/>
      <c r="K46" s="7">
        <f t="shared" si="27"/>
        <v>96635.89</v>
      </c>
      <c r="L46" s="7">
        <f t="shared" si="28"/>
        <v>190970.07</v>
      </c>
      <c r="M46" s="15">
        <f t="shared" si="29"/>
        <v>509029.93</v>
      </c>
      <c r="N46" s="7"/>
      <c r="O46" s="7">
        <f t="shared" si="30"/>
        <v>700000</v>
      </c>
      <c r="P46" s="7">
        <f t="shared" si="31"/>
        <v>509029.93</v>
      </c>
      <c r="Q46" s="7"/>
      <c r="R46" s="7"/>
      <c r="S46" s="7">
        <f t="shared" si="32"/>
        <v>0</v>
      </c>
      <c r="T46" s="7">
        <f t="shared" si="33"/>
        <v>0</v>
      </c>
      <c r="U46" s="7">
        <f t="shared" si="34"/>
        <v>0</v>
      </c>
      <c r="V46" s="7">
        <f t="shared" si="35"/>
        <v>0</v>
      </c>
      <c r="W46" s="7"/>
      <c r="X46" s="7"/>
      <c r="Y46" s="6"/>
      <c r="Z46" s="71"/>
      <c r="AB46" s="8">
        <v>742000</v>
      </c>
    </row>
    <row r="47" spans="1:30" s="8" customFormat="1" x14ac:dyDescent="0.25">
      <c r="A47" s="6">
        <f t="shared" si="36"/>
        <v>31</v>
      </c>
      <c r="B47" s="14">
        <v>1461</v>
      </c>
      <c r="C47" s="6" t="s">
        <v>88</v>
      </c>
      <c r="D47" s="7">
        <v>1500000</v>
      </c>
      <c r="E47" s="7">
        <v>1500000</v>
      </c>
      <c r="F47" s="7">
        <f t="shared" si="26"/>
        <v>0</v>
      </c>
      <c r="G47" s="7">
        <v>100000</v>
      </c>
      <c r="H47" s="7">
        <v>74666.720000000001</v>
      </c>
      <c r="I47" s="7">
        <v>8791.44</v>
      </c>
      <c r="J47" s="7"/>
      <c r="K47" s="7">
        <f t="shared" si="27"/>
        <v>8791.44</v>
      </c>
      <c r="L47" s="7">
        <f t="shared" si="28"/>
        <v>83458.16</v>
      </c>
      <c r="M47" s="15">
        <f t="shared" si="29"/>
        <v>16541.839999999997</v>
      </c>
      <c r="N47" s="7"/>
      <c r="O47" s="7">
        <f t="shared" si="30"/>
        <v>1400000</v>
      </c>
      <c r="P47" s="7">
        <f t="shared" si="31"/>
        <v>16541.839999999997</v>
      </c>
      <c r="Q47" s="7"/>
      <c r="R47" s="7"/>
      <c r="S47" s="7">
        <f t="shared" si="32"/>
        <v>0</v>
      </c>
      <c r="T47" s="7">
        <f t="shared" si="33"/>
        <v>0</v>
      </c>
      <c r="U47" s="7">
        <f t="shared" si="34"/>
        <v>0</v>
      </c>
      <c r="V47" s="7">
        <f t="shared" si="35"/>
        <v>0</v>
      </c>
      <c r="W47" s="7"/>
      <c r="X47" s="7"/>
      <c r="Y47" s="6"/>
      <c r="Z47" s="71"/>
      <c r="AB47" s="8">
        <v>742000</v>
      </c>
    </row>
    <row r="48" spans="1:30" s="8" customFormat="1" x14ac:dyDescent="0.25">
      <c r="A48" s="6">
        <f t="shared" si="36"/>
        <v>32</v>
      </c>
      <c r="B48" s="14">
        <v>1503</v>
      </c>
      <c r="C48" s="6" t="s">
        <v>90</v>
      </c>
      <c r="D48" s="7">
        <v>2000000</v>
      </c>
      <c r="E48" s="7">
        <v>2000000</v>
      </c>
      <c r="F48" s="7">
        <f t="shared" si="26"/>
        <v>0</v>
      </c>
      <c r="G48" s="7">
        <v>180000</v>
      </c>
      <c r="H48" s="7">
        <v>87767.23</v>
      </c>
      <c r="I48" s="7">
        <v>37410.769999999997</v>
      </c>
      <c r="J48" s="7"/>
      <c r="K48" s="7">
        <f t="shared" si="27"/>
        <v>37410.769999999997</v>
      </c>
      <c r="L48" s="7">
        <f t="shared" si="28"/>
        <v>125178</v>
      </c>
      <c r="M48" s="15">
        <f t="shared" si="29"/>
        <v>54822</v>
      </c>
      <c r="N48" s="7"/>
      <c r="O48" s="7">
        <f t="shared" si="30"/>
        <v>1820000</v>
      </c>
      <c r="P48" s="7">
        <f t="shared" si="31"/>
        <v>54822</v>
      </c>
      <c r="Q48" s="7"/>
      <c r="R48" s="7"/>
      <c r="S48" s="7">
        <f t="shared" si="32"/>
        <v>0</v>
      </c>
      <c r="T48" s="7">
        <f t="shared" si="33"/>
        <v>0</v>
      </c>
      <c r="U48" s="7">
        <f t="shared" si="34"/>
        <v>0</v>
      </c>
      <c r="V48" s="7">
        <f t="shared" si="35"/>
        <v>0</v>
      </c>
      <c r="W48" s="7"/>
      <c r="X48" s="7"/>
      <c r="Y48" s="6"/>
      <c r="Z48" s="71"/>
      <c r="AB48" s="8">
        <v>742000</v>
      </c>
    </row>
    <row r="49" spans="1:30" s="8" customFormat="1" ht="15.6" x14ac:dyDescent="0.25">
      <c r="A49" s="6">
        <f t="shared" si="36"/>
        <v>33</v>
      </c>
      <c r="B49" s="14">
        <v>1511</v>
      </c>
      <c r="C49" s="63" t="s">
        <v>62</v>
      </c>
      <c r="D49" s="7">
        <v>960000</v>
      </c>
      <c r="E49" s="7">
        <v>960000</v>
      </c>
      <c r="F49" s="7">
        <f t="shared" si="26"/>
        <v>0</v>
      </c>
      <c r="G49" s="7">
        <v>100000</v>
      </c>
      <c r="H49" s="7">
        <v>17284</v>
      </c>
      <c r="I49" s="7">
        <v>4321</v>
      </c>
      <c r="J49" s="7"/>
      <c r="K49" s="7">
        <f t="shared" si="27"/>
        <v>4321</v>
      </c>
      <c r="L49" s="7">
        <f t="shared" si="28"/>
        <v>21605</v>
      </c>
      <c r="M49" s="15">
        <f t="shared" si="29"/>
        <v>78395</v>
      </c>
      <c r="N49" s="7">
        <v>860000</v>
      </c>
      <c r="O49" s="7">
        <f t="shared" si="30"/>
        <v>0</v>
      </c>
      <c r="P49" s="7">
        <f t="shared" si="31"/>
        <v>78395</v>
      </c>
      <c r="Q49" s="7"/>
      <c r="R49" s="7"/>
      <c r="S49" s="7">
        <f t="shared" si="32"/>
        <v>0</v>
      </c>
      <c r="T49" s="7">
        <f t="shared" si="33"/>
        <v>0</v>
      </c>
      <c r="U49" s="7">
        <f t="shared" si="34"/>
        <v>860000</v>
      </c>
      <c r="V49" s="7">
        <f t="shared" si="35"/>
        <v>0</v>
      </c>
      <c r="W49" s="7"/>
      <c r="X49" s="7"/>
      <c r="Y49" s="7">
        <v>860000</v>
      </c>
      <c r="Z49" s="71"/>
      <c r="AB49" s="8">
        <v>742000</v>
      </c>
    </row>
    <row r="50" spans="1:30" s="8" customFormat="1" x14ac:dyDescent="0.25">
      <c r="A50" s="6">
        <f t="shared" si="36"/>
        <v>34</v>
      </c>
      <c r="B50" s="14">
        <v>1541</v>
      </c>
      <c r="C50" s="6" t="s">
        <v>344</v>
      </c>
      <c r="D50" s="7">
        <v>2650000</v>
      </c>
      <c r="E50" s="7">
        <v>2650000</v>
      </c>
      <c r="F50" s="7">
        <f t="shared" si="26"/>
        <v>0</v>
      </c>
      <c r="G50" s="7">
        <v>2650000</v>
      </c>
      <c r="H50" s="7">
        <v>45012.28</v>
      </c>
      <c r="I50" s="7">
        <v>255424.92</v>
      </c>
      <c r="J50" s="7"/>
      <c r="K50" s="7">
        <f t="shared" si="27"/>
        <v>255424.92</v>
      </c>
      <c r="L50" s="7">
        <f t="shared" si="28"/>
        <v>300437.2</v>
      </c>
      <c r="M50" s="15">
        <f t="shared" si="29"/>
        <v>2349562.7999999998</v>
      </c>
      <c r="N50" s="7"/>
      <c r="O50" s="7">
        <f t="shared" si="30"/>
        <v>0</v>
      </c>
      <c r="P50" s="7">
        <f t="shared" si="31"/>
        <v>2349562.7999999998</v>
      </c>
      <c r="Q50" s="7"/>
      <c r="R50" s="7"/>
      <c r="S50" s="7">
        <f t="shared" si="32"/>
        <v>0</v>
      </c>
      <c r="T50" s="7">
        <f t="shared" si="33"/>
        <v>0</v>
      </c>
      <c r="U50" s="7">
        <f t="shared" si="34"/>
        <v>0</v>
      </c>
      <c r="V50" s="7">
        <f t="shared" si="35"/>
        <v>0</v>
      </c>
      <c r="W50" s="7"/>
      <c r="X50" s="7"/>
      <c r="Y50" s="6"/>
      <c r="Z50" s="71"/>
      <c r="AB50" s="8">
        <v>829000</v>
      </c>
    </row>
    <row r="51" spans="1:30" s="8" customFormat="1" x14ac:dyDescent="0.25">
      <c r="A51" s="6">
        <f t="shared" si="36"/>
        <v>35</v>
      </c>
      <c r="B51" s="14">
        <v>1547</v>
      </c>
      <c r="C51" s="6" t="s">
        <v>322</v>
      </c>
      <c r="D51" s="7">
        <v>131000000</v>
      </c>
      <c r="E51" s="7">
        <v>131000000</v>
      </c>
      <c r="F51" s="7">
        <f t="shared" si="26"/>
        <v>0</v>
      </c>
      <c r="G51" s="7">
        <v>6000000</v>
      </c>
      <c r="H51" s="234">
        <v>3227204</v>
      </c>
      <c r="I51" s="234">
        <v>488795</v>
      </c>
      <c r="J51" s="234">
        <v>1842746</v>
      </c>
      <c r="K51" s="7">
        <f t="shared" si="27"/>
        <v>2331541</v>
      </c>
      <c r="L51" s="7">
        <f t="shared" si="28"/>
        <v>5558745</v>
      </c>
      <c r="M51" s="15">
        <f t="shared" si="29"/>
        <v>6441255</v>
      </c>
      <c r="N51" s="7">
        <v>25000000</v>
      </c>
      <c r="O51" s="7">
        <f t="shared" si="30"/>
        <v>94000000</v>
      </c>
      <c r="P51" s="7">
        <f t="shared" si="31"/>
        <v>441255</v>
      </c>
      <c r="Q51" s="7">
        <v>6000000</v>
      </c>
      <c r="R51" s="7"/>
      <c r="S51" s="7">
        <f t="shared" si="32"/>
        <v>6000000</v>
      </c>
      <c r="T51" s="7">
        <f t="shared" si="33"/>
        <v>0</v>
      </c>
      <c r="U51" s="7">
        <f t="shared" si="34"/>
        <v>25000000</v>
      </c>
      <c r="V51" s="7">
        <f t="shared" si="35"/>
        <v>24177556</v>
      </c>
      <c r="W51" s="7"/>
      <c r="X51" s="7"/>
      <c r="Y51" s="7">
        <v>822444</v>
      </c>
      <c r="Z51" s="71"/>
      <c r="AB51" s="8">
        <v>742000</v>
      </c>
    </row>
    <row r="52" spans="1:30" s="8" customFormat="1" x14ac:dyDescent="0.25">
      <c r="A52" s="6">
        <f t="shared" si="36"/>
        <v>36</v>
      </c>
      <c r="B52" s="14">
        <v>1568</v>
      </c>
      <c r="C52" s="6" t="s">
        <v>92</v>
      </c>
      <c r="D52" s="7">
        <v>42000000</v>
      </c>
      <c r="E52" s="7">
        <v>42000000</v>
      </c>
      <c r="F52" s="7">
        <f t="shared" si="26"/>
        <v>0</v>
      </c>
      <c r="G52" s="7">
        <v>37875301</v>
      </c>
      <c r="H52" s="7">
        <v>27607596.600000001</v>
      </c>
      <c r="I52" s="7">
        <v>81006.070000000007</v>
      </c>
      <c r="J52" s="7">
        <v>605317.12</v>
      </c>
      <c r="K52" s="7">
        <f t="shared" si="27"/>
        <v>686323.19</v>
      </c>
      <c r="L52" s="7">
        <f t="shared" si="28"/>
        <v>28293919.790000003</v>
      </c>
      <c r="M52" s="15">
        <f t="shared" si="29"/>
        <v>9581381.2099999972</v>
      </c>
      <c r="N52" s="7"/>
      <c r="O52" s="7">
        <f t="shared" si="30"/>
        <v>4124699</v>
      </c>
      <c r="P52" s="7">
        <f t="shared" si="31"/>
        <v>9581381.2099999972</v>
      </c>
      <c r="Q52" s="7"/>
      <c r="R52" s="7"/>
      <c r="S52" s="7">
        <f t="shared" si="32"/>
        <v>0</v>
      </c>
      <c r="T52" s="7">
        <f t="shared" si="33"/>
        <v>0</v>
      </c>
      <c r="U52" s="7">
        <f t="shared" si="34"/>
        <v>0</v>
      </c>
      <c r="V52" s="7">
        <f t="shared" si="35"/>
        <v>0</v>
      </c>
      <c r="W52" s="7"/>
      <c r="X52" s="7"/>
      <c r="Y52" s="7"/>
      <c r="Z52" s="71"/>
      <c r="AB52" s="8">
        <v>746000</v>
      </c>
    </row>
    <row r="53" spans="1:30" s="8" customFormat="1" x14ac:dyDescent="0.25">
      <c r="A53" s="6">
        <f t="shared" si="36"/>
        <v>37</v>
      </c>
      <c r="B53" s="14">
        <v>1576</v>
      </c>
      <c r="C53" s="6" t="s">
        <v>93</v>
      </c>
      <c r="D53" s="7">
        <v>1000000</v>
      </c>
      <c r="E53" s="7">
        <v>1000000</v>
      </c>
      <c r="F53" s="7">
        <f t="shared" si="26"/>
        <v>0</v>
      </c>
      <c r="G53" s="7">
        <v>600000</v>
      </c>
      <c r="H53" s="7">
        <v>350511.17</v>
      </c>
      <c r="I53" s="7"/>
      <c r="J53" s="7">
        <v>62499.24</v>
      </c>
      <c r="K53" s="7">
        <f t="shared" si="27"/>
        <v>62499.24</v>
      </c>
      <c r="L53" s="7">
        <f t="shared" si="28"/>
        <v>413010.41</v>
      </c>
      <c r="M53" s="15">
        <f t="shared" si="29"/>
        <v>186989.59000000003</v>
      </c>
      <c r="N53" s="7"/>
      <c r="O53" s="7">
        <f t="shared" si="30"/>
        <v>400000.00000000006</v>
      </c>
      <c r="P53" s="7">
        <f t="shared" si="31"/>
        <v>186989.59000000003</v>
      </c>
      <c r="Q53" s="7"/>
      <c r="R53" s="7"/>
      <c r="S53" s="7">
        <f t="shared" si="32"/>
        <v>0</v>
      </c>
      <c r="T53" s="7">
        <f t="shared" si="33"/>
        <v>0</v>
      </c>
      <c r="U53" s="7">
        <f t="shared" si="34"/>
        <v>0</v>
      </c>
      <c r="V53" s="7">
        <f t="shared" si="35"/>
        <v>0</v>
      </c>
      <c r="W53" s="7"/>
      <c r="X53" s="7"/>
      <c r="Y53" s="6"/>
      <c r="Z53" s="71"/>
      <c r="AB53" s="8">
        <v>732000</v>
      </c>
    </row>
    <row r="54" spans="1:30" s="8" customFormat="1" x14ac:dyDescent="0.25">
      <c r="A54" s="6">
        <f t="shared" si="36"/>
        <v>38</v>
      </c>
      <c r="B54" s="14">
        <v>1584</v>
      </c>
      <c r="C54" s="6" t="s">
        <v>587</v>
      </c>
      <c r="D54" s="7">
        <v>195617</v>
      </c>
      <c r="E54" s="7">
        <v>195617</v>
      </c>
      <c r="F54" s="7">
        <f t="shared" si="26"/>
        <v>0</v>
      </c>
      <c r="G54" s="7">
        <v>195617</v>
      </c>
      <c r="H54" s="7">
        <v>154341.64000000001</v>
      </c>
      <c r="I54" s="7"/>
      <c r="J54" s="7"/>
      <c r="K54" s="7">
        <f t="shared" si="27"/>
        <v>0</v>
      </c>
      <c r="L54" s="7">
        <f t="shared" si="28"/>
        <v>154341.64000000001</v>
      </c>
      <c r="M54" s="15">
        <f t="shared" si="29"/>
        <v>41275.359999999986</v>
      </c>
      <c r="N54" s="7"/>
      <c r="O54" s="7">
        <f t="shared" si="30"/>
        <v>0</v>
      </c>
      <c r="P54" s="7">
        <f t="shared" si="31"/>
        <v>41275.359999999986</v>
      </c>
      <c r="Q54" s="7"/>
      <c r="R54" s="7"/>
      <c r="S54" s="7">
        <f t="shared" si="32"/>
        <v>0</v>
      </c>
      <c r="T54" s="7">
        <f t="shared" si="33"/>
        <v>0</v>
      </c>
      <c r="U54" s="7">
        <f t="shared" si="34"/>
        <v>0</v>
      </c>
      <c r="V54" s="7">
        <f t="shared" si="35"/>
        <v>0</v>
      </c>
      <c r="W54" s="7"/>
      <c r="X54" s="7"/>
      <c r="Y54" s="6"/>
      <c r="Z54" s="71"/>
      <c r="AA54" s="9"/>
      <c r="AB54" s="8">
        <v>732000</v>
      </c>
      <c r="AC54" s="9"/>
      <c r="AD54" s="9"/>
    </row>
    <row r="55" spans="1:30" s="9" customFormat="1" x14ac:dyDescent="0.25">
      <c r="A55" s="6">
        <f t="shared" si="36"/>
        <v>39</v>
      </c>
      <c r="B55" s="14">
        <v>1587</v>
      </c>
      <c r="C55" s="6" t="s">
        <v>323</v>
      </c>
      <c r="D55" s="7">
        <v>15000000</v>
      </c>
      <c r="E55" s="7">
        <v>15000000</v>
      </c>
      <c r="F55" s="7">
        <f t="shared" si="26"/>
        <v>0</v>
      </c>
      <c r="G55" s="7">
        <v>11000000</v>
      </c>
      <c r="H55" s="234">
        <v>7147787</v>
      </c>
      <c r="I55" s="234">
        <v>81138</v>
      </c>
      <c r="J55" s="234">
        <v>1721793</v>
      </c>
      <c r="K55" s="7">
        <f t="shared" si="27"/>
        <v>1802931</v>
      </c>
      <c r="L55" s="7">
        <f t="shared" si="28"/>
        <v>8950718</v>
      </c>
      <c r="M55" s="15">
        <f t="shared" si="29"/>
        <v>2049282</v>
      </c>
      <c r="N55" s="7"/>
      <c r="O55" s="7">
        <f t="shared" si="30"/>
        <v>4000000</v>
      </c>
      <c r="P55" s="7">
        <f t="shared" si="31"/>
        <v>2049282</v>
      </c>
      <c r="Q55" s="7"/>
      <c r="R55" s="7"/>
      <c r="S55" s="7">
        <f t="shared" si="32"/>
        <v>0</v>
      </c>
      <c r="T55" s="7">
        <f t="shared" si="33"/>
        <v>0</v>
      </c>
      <c r="U55" s="7">
        <f t="shared" si="34"/>
        <v>0</v>
      </c>
      <c r="V55" s="7">
        <f t="shared" si="35"/>
        <v>0</v>
      </c>
      <c r="W55" s="7"/>
      <c r="X55" s="7"/>
      <c r="Y55" s="6"/>
      <c r="Z55" s="71"/>
      <c r="AB55" s="8">
        <v>742000</v>
      </c>
    </row>
    <row r="56" spans="1:30" s="9" customFormat="1" x14ac:dyDescent="0.25">
      <c r="A56" s="6">
        <f t="shared" si="36"/>
        <v>40</v>
      </c>
      <c r="B56" s="14">
        <v>1588</v>
      </c>
      <c r="C56" s="6" t="s">
        <v>44</v>
      </c>
      <c r="D56" s="7">
        <v>40000000</v>
      </c>
      <c r="E56" s="7">
        <v>40000000</v>
      </c>
      <c r="F56" s="7">
        <f t="shared" si="26"/>
        <v>0</v>
      </c>
      <c r="G56" s="7">
        <v>3000000</v>
      </c>
      <c r="H56" s="7">
        <v>853530.17</v>
      </c>
      <c r="I56" s="7">
        <v>139819.47</v>
      </c>
      <c r="J56" s="7">
        <v>862873.77</v>
      </c>
      <c r="K56" s="7">
        <f t="shared" si="27"/>
        <v>1002693.24</v>
      </c>
      <c r="L56" s="7">
        <f t="shared" si="28"/>
        <v>1856223.4100000001</v>
      </c>
      <c r="M56" s="15">
        <f t="shared" si="29"/>
        <v>1143776.5899999999</v>
      </c>
      <c r="N56" s="7"/>
      <c r="O56" s="7">
        <f t="shared" si="30"/>
        <v>37000000</v>
      </c>
      <c r="P56" s="7">
        <f t="shared" si="31"/>
        <v>1143776.5899999999</v>
      </c>
      <c r="Q56" s="7"/>
      <c r="R56" s="7"/>
      <c r="S56" s="7">
        <f t="shared" si="32"/>
        <v>0</v>
      </c>
      <c r="T56" s="7">
        <f t="shared" si="33"/>
        <v>0</v>
      </c>
      <c r="U56" s="7">
        <f t="shared" si="34"/>
        <v>0</v>
      </c>
      <c r="V56" s="7">
        <f t="shared" si="35"/>
        <v>0</v>
      </c>
      <c r="W56" s="7"/>
      <c r="X56" s="7"/>
      <c r="Y56" s="6"/>
      <c r="Z56" s="71"/>
      <c r="AB56" s="8">
        <v>742000</v>
      </c>
    </row>
    <row r="57" spans="1:30" s="8" customFormat="1" x14ac:dyDescent="0.25">
      <c r="A57" s="6">
        <f t="shared" si="36"/>
        <v>41</v>
      </c>
      <c r="B57" s="14">
        <v>1602</v>
      </c>
      <c r="C57" s="6" t="s">
        <v>45</v>
      </c>
      <c r="D57" s="7">
        <v>30700000</v>
      </c>
      <c r="E57" s="7">
        <v>26500000</v>
      </c>
      <c r="F57" s="7">
        <f t="shared" si="26"/>
        <v>4200000</v>
      </c>
      <c r="G57" s="7">
        <v>400000</v>
      </c>
      <c r="H57" s="7">
        <v>0</v>
      </c>
      <c r="I57" s="7">
        <v>149630.75</v>
      </c>
      <c r="J57" s="7"/>
      <c r="K57" s="7">
        <f t="shared" si="27"/>
        <v>149630.75</v>
      </c>
      <c r="L57" s="7">
        <f t="shared" si="28"/>
        <v>149630.75</v>
      </c>
      <c r="M57" s="15">
        <f t="shared" si="29"/>
        <v>4750369.25</v>
      </c>
      <c r="N57" s="7">
        <v>25800000</v>
      </c>
      <c r="O57" s="7">
        <f t="shared" si="30"/>
        <v>0</v>
      </c>
      <c r="P57" s="7">
        <f t="shared" si="31"/>
        <v>250369.25</v>
      </c>
      <c r="Q57" s="7">
        <v>4500000</v>
      </c>
      <c r="R57" s="7"/>
      <c r="S57" s="7">
        <f t="shared" si="32"/>
        <v>4500000</v>
      </c>
      <c r="T57" s="7">
        <f t="shared" si="33"/>
        <v>0</v>
      </c>
      <c r="U57" s="7">
        <f t="shared" si="34"/>
        <v>25800000</v>
      </c>
      <c r="V57" s="7">
        <f t="shared" si="35"/>
        <v>7740000</v>
      </c>
      <c r="W57" s="7"/>
      <c r="X57" s="7"/>
      <c r="Y57" s="7">
        <f>N57*0.7</f>
        <v>18060000</v>
      </c>
      <c r="Z57" s="71"/>
      <c r="AA57" s="9"/>
      <c r="AB57" s="8">
        <v>742000</v>
      </c>
      <c r="AC57" s="9"/>
      <c r="AD57" s="9"/>
    </row>
    <row r="58" spans="1:30" s="9" customFormat="1" x14ac:dyDescent="0.25">
      <c r="A58" s="6">
        <f t="shared" si="36"/>
        <v>42</v>
      </c>
      <c r="B58" s="14">
        <v>1606</v>
      </c>
      <c r="C58" s="6" t="s">
        <v>65</v>
      </c>
      <c r="D58" s="7">
        <f>1300000-426</f>
        <v>1299574</v>
      </c>
      <c r="E58" s="7">
        <v>1300000</v>
      </c>
      <c r="F58" s="7">
        <f t="shared" si="26"/>
        <v>-426</v>
      </c>
      <c r="G58" s="7">
        <v>1299574</v>
      </c>
      <c r="H58" s="7">
        <v>0</v>
      </c>
      <c r="I58" s="7">
        <v>69218.8</v>
      </c>
      <c r="J58" s="7">
        <v>925704.1</v>
      </c>
      <c r="K58" s="7">
        <f t="shared" si="27"/>
        <v>994922.9</v>
      </c>
      <c r="L58" s="7">
        <f t="shared" si="28"/>
        <v>994922.9</v>
      </c>
      <c r="M58" s="15">
        <f t="shared" si="29"/>
        <v>304651.09999999998</v>
      </c>
      <c r="N58" s="7"/>
      <c r="O58" s="7">
        <f t="shared" si="30"/>
        <v>0</v>
      </c>
      <c r="P58" s="7">
        <f t="shared" si="31"/>
        <v>304651.09999999998</v>
      </c>
      <c r="Q58" s="7"/>
      <c r="R58" s="7"/>
      <c r="S58" s="7">
        <f t="shared" si="32"/>
        <v>0</v>
      </c>
      <c r="T58" s="7">
        <f t="shared" si="33"/>
        <v>0</v>
      </c>
      <c r="U58" s="7">
        <f t="shared" si="34"/>
        <v>0</v>
      </c>
      <c r="V58" s="7">
        <f t="shared" si="35"/>
        <v>0</v>
      </c>
      <c r="W58" s="7"/>
      <c r="X58" s="7"/>
      <c r="Y58" s="7"/>
      <c r="Z58" s="71"/>
      <c r="AA58" s="8"/>
      <c r="AB58" s="8">
        <v>829000</v>
      </c>
      <c r="AC58" s="8"/>
      <c r="AD58" s="8"/>
    </row>
    <row r="59" spans="1:30" s="8" customFormat="1" x14ac:dyDescent="0.25">
      <c r="A59" s="6">
        <f t="shared" si="36"/>
        <v>43</v>
      </c>
      <c r="B59" s="14">
        <v>1615</v>
      </c>
      <c r="C59" s="6" t="s">
        <v>441</v>
      </c>
      <c r="D59" s="7">
        <v>27700000</v>
      </c>
      <c r="E59" s="7">
        <v>27700000</v>
      </c>
      <c r="F59" s="7">
        <f t="shared" si="26"/>
        <v>0</v>
      </c>
      <c r="G59" s="7">
        <v>3200000</v>
      </c>
      <c r="H59" s="7">
        <v>184179</v>
      </c>
      <c r="I59" s="7">
        <v>130111.58</v>
      </c>
      <c r="J59" s="7">
        <v>574337.93999999994</v>
      </c>
      <c r="K59" s="7">
        <f t="shared" si="27"/>
        <v>704449.5199999999</v>
      </c>
      <c r="L59" s="7">
        <f t="shared" si="28"/>
        <v>888628.5199999999</v>
      </c>
      <c r="M59" s="15">
        <f t="shared" si="29"/>
        <v>2311371.48</v>
      </c>
      <c r="N59" s="7">
        <f>24500000-17500000</f>
        <v>7000000</v>
      </c>
      <c r="O59" s="7">
        <f t="shared" si="30"/>
        <v>17500000</v>
      </c>
      <c r="P59" s="7">
        <f t="shared" si="31"/>
        <v>2311371.48</v>
      </c>
      <c r="Q59" s="7"/>
      <c r="R59" s="7"/>
      <c r="S59" s="7">
        <f t="shared" si="32"/>
        <v>0</v>
      </c>
      <c r="T59" s="7">
        <f t="shared" si="33"/>
        <v>0</v>
      </c>
      <c r="U59" s="7">
        <f t="shared" si="34"/>
        <v>7000000</v>
      </c>
      <c r="V59" s="7">
        <f t="shared" si="35"/>
        <v>7000000</v>
      </c>
      <c r="W59" s="7"/>
      <c r="X59" s="7"/>
      <c r="Y59" s="7"/>
      <c r="Z59" s="71"/>
      <c r="AB59" s="8">
        <v>742000</v>
      </c>
    </row>
    <row r="60" spans="1:30" s="8" customFormat="1" x14ac:dyDescent="0.25">
      <c r="A60" s="6">
        <f t="shared" si="36"/>
        <v>44</v>
      </c>
      <c r="B60" s="14">
        <v>1656</v>
      </c>
      <c r="C60" s="6" t="s">
        <v>67</v>
      </c>
      <c r="D60" s="7">
        <v>10800000</v>
      </c>
      <c r="E60" s="7">
        <v>10800000</v>
      </c>
      <c r="F60" s="7">
        <f t="shared" si="26"/>
        <v>0</v>
      </c>
      <c r="G60" s="7">
        <v>1000000</v>
      </c>
      <c r="H60" s="7">
        <v>106496.8</v>
      </c>
      <c r="I60" s="7">
        <v>86180.37</v>
      </c>
      <c r="J60" s="7">
        <v>61006</v>
      </c>
      <c r="K60" s="7">
        <f t="shared" si="27"/>
        <v>147186.37</v>
      </c>
      <c r="L60" s="7">
        <f t="shared" si="28"/>
        <v>253683.16999999998</v>
      </c>
      <c r="M60" s="15">
        <f t="shared" si="29"/>
        <v>1246316.83</v>
      </c>
      <c r="N60" s="7">
        <v>9300000</v>
      </c>
      <c r="O60" s="7">
        <f t="shared" si="30"/>
        <v>0</v>
      </c>
      <c r="P60" s="7">
        <f t="shared" si="31"/>
        <v>746316.83000000007</v>
      </c>
      <c r="Q60" s="7">
        <v>500000</v>
      </c>
      <c r="R60" s="7"/>
      <c r="S60" s="7">
        <f t="shared" si="32"/>
        <v>500000</v>
      </c>
      <c r="T60" s="7">
        <f t="shared" si="33"/>
        <v>0</v>
      </c>
      <c r="U60" s="7">
        <f t="shared" si="34"/>
        <v>9300000</v>
      </c>
      <c r="V60" s="7">
        <f t="shared" si="35"/>
        <v>9300000</v>
      </c>
      <c r="W60" s="7"/>
      <c r="X60" s="7"/>
      <c r="Y60" s="7"/>
      <c r="Z60" s="71"/>
      <c r="AB60" s="8">
        <v>742000</v>
      </c>
    </row>
    <row r="61" spans="1:30" s="8" customFormat="1" x14ac:dyDescent="0.25">
      <c r="A61" s="6">
        <f t="shared" si="36"/>
        <v>45</v>
      </c>
      <c r="B61" s="14">
        <v>1657</v>
      </c>
      <c r="C61" s="6" t="s">
        <v>46</v>
      </c>
      <c r="D61" s="7">
        <v>60000000</v>
      </c>
      <c r="E61" s="7">
        <v>60000000</v>
      </c>
      <c r="F61" s="7">
        <f t="shared" ref="F61:F77" si="37">D61-E61</f>
        <v>0</v>
      </c>
      <c r="G61" s="7">
        <v>2700000</v>
      </c>
      <c r="H61" s="7">
        <v>976466.2</v>
      </c>
      <c r="I61" s="7">
        <v>310945.36</v>
      </c>
      <c r="J61" s="7">
        <v>219613.56</v>
      </c>
      <c r="K61" s="7">
        <f t="shared" ref="K61:K77" si="38">SUM(I61:J61)</f>
        <v>530558.91999999993</v>
      </c>
      <c r="L61" s="7">
        <f t="shared" ref="L61:L77" si="39">H61+K61</f>
        <v>1507025.1199999999</v>
      </c>
      <c r="M61" s="15">
        <f t="shared" si="29"/>
        <v>1192974.8800000001</v>
      </c>
      <c r="N61" s="7">
        <v>10000000</v>
      </c>
      <c r="O61" s="7">
        <f t="shared" ref="O61:O77" si="40">D61-L61-M61-N61</f>
        <v>47300000</v>
      </c>
      <c r="P61" s="7">
        <f t="shared" ref="P61:P77" si="41">G61-L61</f>
        <v>1192974.8800000001</v>
      </c>
      <c r="Q61" s="7"/>
      <c r="R61" s="7"/>
      <c r="S61" s="7">
        <f t="shared" ref="S61:S77" si="42">SUM(Q61:R61)</f>
        <v>0</v>
      </c>
      <c r="T61" s="7">
        <f t="shared" ref="T61:T77" si="43">P61-M61+S61</f>
        <v>0</v>
      </c>
      <c r="U61" s="7">
        <f t="shared" ref="U61:U77" si="44">N61-T61</f>
        <v>10000000</v>
      </c>
      <c r="V61" s="7">
        <f t="shared" ref="V61:V77" si="45">U61-Y61-W61-X61</f>
        <v>10000000</v>
      </c>
      <c r="W61" s="7"/>
      <c r="X61" s="7"/>
      <c r="Y61" s="7"/>
      <c r="Z61" s="71"/>
      <c r="AB61" s="8">
        <v>742000</v>
      </c>
    </row>
    <row r="62" spans="1:30" s="8" customFormat="1" x14ac:dyDescent="0.25">
      <c r="A62" s="6">
        <f t="shared" si="36"/>
        <v>46</v>
      </c>
      <c r="B62" s="14">
        <v>1670</v>
      </c>
      <c r="C62" s="6" t="s">
        <v>324</v>
      </c>
      <c r="D62" s="7">
        <v>12500000</v>
      </c>
      <c r="E62" s="7">
        <v>12500000</v>
      </c>
      <c r="F62" s="7">
        <f t="shared" si="37"/>
        <v>0</v>
      </c>
      <c r="G62" s="7">
        <v>3800000</v>
      </c>
      <c r="H62" s="7">
        <v>14160</v>
      </c>
      <c r="I62" s="7">
        <v>84005.26</v>
      </c>
      <c r="J62" s="7"/>
      <c r="K62" s="7">
        <f t="shared" si="38"/>
        <v>84005.26</v>
      </c>
      <c r="L62" s="7">
        <f t="shared" si="39"/>
        <v>98165.26</v>
      </c>
      <c r="M62" s="15">
        <f t="shared" si="29"/>
        <v>3701834.74</v>
      </c>
      <c r="N62" s="7"/>
      <c r="O62" s="7">
        <f t="shared" si="40"/>
        <v>8700000</v>
      </c>
      <c r="P62" s="7">
        <f t="shared" si="41"/>
        <v>3701834.74</v>
      </c>
      <c r="Q62" s="7"/>
      <c r="R62" s="7"/>
      <c r="S62" s="7">
        <f t="shared" si="42"/>
        <v>0</v>
      </c>
      <c r="T62" s="7">
        <f t="shared" si="43"/>
        <v>0</v>
      </c>
      <c r="U62" s="7">
        <f t="shared" si="44"/>
        <v>0</v>
      </c>
      <c r="V62" s="7">
        <f t="shared" si="45"/>
        <v>0</v>
      </c>
      <c r="W62" s="7"/>
      <c r="X62" s="7"/>
      <c r="Y62" s="7"/>
      <c r="Z62" s="71"/>
      <c r="AA62" s="9"/>
      <c r="AB62" s="8">
        <v>742000</v>
      </c>
      <c r="AC62" s="9"/>
      <c r="AD62" s="9"/>
    </row>
    <row r="63" spans="1:30" s="8" customFormat="1" x14ac:dyDescent="0.25">
      <c r="A63" s="6">
        <f t="shared" si="36"/>
        <v>47</v>
      </c>
      <c r="B63" s="14">
        <v>1709</v>
      </c>
      <c r="C63" s="6" t="s">
        <v>96</v>
      </c>
      <c r="D63" s="7">
        <f>3600000-1300000</f>
        <v>2300000</v>
      </c>
      <c r="E63" s="7">
        <v>3600000</v>
      </c>
      <c r="F63" s="7">
        <f t="shared" si="37"/>
        <v>-1300000</v>
      </c>
      <c r="G63" s="7">
        <v>3600000</v>
      </c>
      <c r="H63" s="7">
        <v>1518328</v>
      </c>
      <c r="I63" s="7">
        <v>705232.89</v>
      </c>
      <c r="J63" s="7"/>
      <c r="K63" s="7">
        <f t="shared" si="38"/>
        <v>705232.89</v>
      </c>
      <c r="L63" s="7">
        <f t="shared" si="39"/>
        <v>2223560.89</v>
      </c>
      <c r="M63" s="15">
        <f>P63+S63-1300000</f>
        <v>76439.10999999987</v>
      </c>
      <c r="N63" s="7"/>
      <c r="O63" s="7">
        <f t="shared" si="40"/>
        <v>0</v>
      </c>
      <c r="P63" s="7">
        <f t="shared" si="41"/>
        <v>1376439.1099999999</v>
      </c>
      <c r="Q63" s="7"/>
      <c r="R63" s="7"/>
      <c r="S63" s="7">
        <f t="shared" si="42"/>
        <v>0</v>
      </c>
      <c r="T63" s="7">
        <f t="shared" si="43"/>
        <v>1300000</v>
      </c>
      <c r="U63" s="7">
        <f t="shared" si="44"/>
        <v>-1300000</v>
      </c>
      <c r="V63" s="7">
        <f t="shared" si="45"/>
        <v>-1300000</v>
      </c>
      <c r="W63" s="7"/>
      <c r="X63" s="7"/>
      <c r="Y63" s="6"/>
      <c r="Z63" s="71"/>
      <c r="AB63" s="8">
        <v>742000</v>
      </c>
    </row>
    <row r="64" spans="1:30" s="8" customFormat="1" x14ac:dyDescent="0.25">
      <c r="A64" s="6">
        <f t="shared" si="36"/>
        <v>48</v>
      </c>
      <c r="B64" s="14">
        <v>1719</v>
      </c>
      <c r="C64" s="6" t="s">
        <v>585</v>
      </c>
      <c r="D64" s="7">
        <v>1000000</v>
      </c>
      <c r="E64" s="7">
        <v>1000000</v>
      </c>
      <c r="F64" s="7">
        <f t="shared" si="37"/>
        <v>0</v>
      </c>
      <c r="G64" s="7">
        <v>1000000</v>
      </c>
      <c r="H64" s="7">
        <v>74637</v>
      </c>
      <c r="I64" s="7"/>
      <c r="J64" s="7"/>
      <c r="K64" s="7">
        <f t="shared" si="38"/>
        <v>0</v>
      </c>
      <c r="L64" s="7">
        <f t="shared" si="39"/>
        <v>74637</v>
      </c>
      <c r="M64" s="15">
        <f t="shared" ref="M64:M77" si="46">P64+S64</f>
        <v>925363</v>
      </c>
      <c r="N64" s="7"/>
      <c r="O64" s="7">
        <f t="shared" si="40"/>
        <v>0</v>
      </c>
      <c r="P64" s="7">
        <f t="shared" si="41"/>
        <v>925363</v>
      </c>
      <c r="Q64" s="7"/>
      <c r="R64" s="7"/>
      <c r="S64" s="7">
        <f t="shared" si="42"/>
        <v>0</v>
      </c>
      <c r="T64" s="7">
        <f t="shared" si="43"/>
        <v>0</v>
      </c>
      <c r="U64" s="7">
        <f t="shared" si="44"/>
        <v>0</v>
      </c>
      <c r="V64" s="7">
        <f t="shared" si="45"/>
        <v>0</v>
      </c>
      <c r="W64" s="7"/>
      <c r="X64" s="7"/>
      <c r="Y64" s="6"/>
      <c r="Z64" s="71"/>
      <c r="AB64" s="8">
        <v>742000</v>
      </c>
    </row>
    <row r="65" spans="1:30" s="8" customFormat="1" x14ac:dyDescent="0.25">
      <c r="A65" s="6">
        <f t="shared" si="36"/>
        <v>49</v>
      </c>
      <c r="B65" s="14">
        <v>1720</v>
      </c>
      <c r="C65" s="6" t="s">
        <v>98</v>
      </c>
      <c r="D65" s="7">
        <v>1500000</v>
      </c>
      <c r="E65" s="7">
        <v>1500000</v>
      </c>
      <c r="F65" s="7">
        <f t="shared" si="37"/>
        <v>0</v>
      </c>
      <c r="G65" s="7">
        <v>1500000</v>
      </c>
      <c r="H65" s="7">
        <v>10024</v>
      </c>
      <c r="I65" s="7"/>
      <c r="J65" s="7"/>
      <c r="K65" s="7">
        <f t="shared" si="38"/>
        <v>0</v>
      </c>
      <c r="L65" s="7">
        <f t="shared" si="39"/>
        <v>10024</v>
      </c>
      <c r="M65" s="15">
        <f t="shared" si="46"/>
        <v>1489976</v>
      </c>
      <c r="N65" s="7"/>
      <c r="O65" s="7">
        <f t="shared" si="40"/>
        <v>0</v>
      </c>
      <c r="P65" s="7">
        <f t="shared" si="41"/>
        <v>1489976</v>
      </c>
      <c r="Q65" s="7"/>
      <c r="R65" s="7"/>
      <c r="S65" s="7">
        <f t="shared" si="42"/>
        <v>0</v>
      </c>
      <c r="T65" s="7">
        <f t="shared" si="43"/>
        <v>0</v>
      </c>
      <c r="U65" s="7">
        <f t="shared" si="44"/>
        <v>0</v>
      </c>
      <c r="V65" s="7">
        <f t="shared" si="45"/>
        <v>0</v>
      </c>
      <c r="W65" s="7"/>
      <c r="X65" s="7"/>
      <c r="Y65" s="6"/>
      <c r="Z65" s="71"/>
      <c r="AB65" s="8">
        <v>742000</v>
      </c>
    </row>
    <row r="66" spans="1:30" s="8" customFormat="1" x14ac:dyDescent="0.25">
      <c r="A66" s="6">
        <f t="shared" si="36"/>
        <v>50</v>
      </c>
      <c r="B66" s="14">
        <v>1721</v>
      </c>
      <c r="C66" s="6" t="s">
        <v>99</v>
      </c>
      <c r="D66" s="7">
        <v>700000</v>
      </c>
      <c r="E66" s="7">
        <v>700000</v>
      </c>
      <c r="F66" s="7">
        <f t="shared" si="37"/>
        <v>0</v>
      </c>
      <c r="G66" s="7">
        <v>700000</v>
      </c>
      <c r="H66" s="7">
        <v>11363.01</v>
      </c>
      <c r="I66" s="7">
        <v>35173.440000000002</v>
      </c>
      <c r="J66" s="7"/>
      <c r="K66" s="7">
        <f t="shared" si="38"/>
        <v>35173.440000000002</v>
      </c>
      <c r="L66" s="7">
        <f t="shared" si="39"/>
        <v>46536.450000000004</v>
      </c>
      <c r="M66" s="15">
        <f t="shared" si="46"/>
        <v>653463.55000000005</v>
      </c>
      <c r="N66" s="7"/>
      <c r="O66" s="7">
        <f t="shared" si="40"/>
        <v>0</v>
      </c>
      <c r="P66" s="7">
        <f t="shared" si="41"/>
        <v>653463.55000000005</v>
      </c>
      <c r="Q66" s="7"/>
      <c r="R66" s="7"/>
      <c r="S66" s="7">
        <f t="shared" si="42"/>
        <v>0</v>
      </c>
      <c r="T66" s="7">
        <f t="shared" si="43"/>
        <v>0</v>
      </c>
      <c r="U66" s="7">
        <f t="shared" si="44"/>
        <v>0</v>
      </c>
      <c r="V66" s="7">
        <f t="shared" si="45"/>
        <v>0</v>
      </c>
      <c r="W66" s="7"/>
      <c r="X66" s="7"/>
      <c r="Y66" s="6"/>
      <c r="Z66" s="71"/>
      <c r="AB66" s="8">
        <v>746000</v>
      </c>
    </row>
    <row r="67" spans="1:30" s="8" customFormat="1" x14ac:dyDescent="0.25">
      <c r="A67" s="6">
        <f t="shared" si="36"/>
        <v>51</v>
      </c>
      <c r="B67" s="14">
        <v>1722</v>
      </c>
      <c r="C67" s="6" t="s">
        <v>68</v>
      </c>
      <c r="D67" s="7">
        <v>2400000</v>
      </c>
      <c r="E67" s="7">
        <v>2400000</v>
      </c>
      <c r="F67" s="7">
        <f t="shared" si="37"/>
        <v>0</v>
      </c>
      <c r="G67" s="7">
        <v>1100000</v>
      </c>
      <c r="H67" s="7">
        <v>17700</v>
      </c>
      <c r="I67" s="7">
        <v>68428.789999999994</v>
      </c>
      <c r="J67" s="7">
        <v>53100</v>
      </c>
      <c r="K67" s="7">
        <f t="shared" si="38"/>
        <v>121528.79</v>
      </c>
      <c r="L67" s="7">
        <f t="shared" si="39"/>
        <v>139228.78999999998</v>
      </c>
      <c r="M67" s="15">
        <f t="shared" si="46"/>
        <v>1260771.21</v>
      </c>
      <c r="N67" s="7"/>
      <c r="O67" s="7">
        <f t="shared" si="40"/>
        <v>1000000</v>
      </c>
      <c r="P67" s="7">
        <f t="shared" si="41"/>
        <v>960771.21</v>
      </c>
      <c r="Q67" s="7">
        <v>300000</v>
      </c>
      <c r="R67" s="7"/>
      <c r="S67" s="7">
        <f t="shared" si="42"/>
        <v>300000</v>
      </c>
      <c r="T67" s="7">
        <f t="shared" si="43"/>
        <v>0</v>
      </c>
      <c r="U67" s="7">
        <f t="shared" si="44"/>
        <v>0</v>
      </c>
      <c r="V67" s="7">
        <f t="shared" si="45"/>
        <v>0</v>
      </c>
      <c r="W67" s="7"/>
      <c r="X67" s="7"/>
      <c r="Y67" s="6"/>
      <c r="Z67" s="71"/>
      <c r="AB67" s="8">
        <v>742000</v>
      </c>
    </row>
    <row r="68" spans="1:30" s="8" customFormat="1" x14ac:dyDescent="0.25">
      <c r="A68" s="6">
        <f t="shared" si="36"/>
        <v>52</v>
      </c>
      <c r="B68" s="14">
        <v>1724</v>
      </c>
      <c r="C68" s="6" t="s">
        <v>429</v>
      </c>
      <c r="D68" s="7">
        <v>1500000</v>
      </c>
      <c r="E68" s="7">
        <v>1500000</v>
      </c>
      <c r="F68" s="7">
        <f t="shared" si="37"/>
        <v>0</v>
      </c>
      <c r="G68" s="7">
        <v>1500000</v>
      </c>
      <c r="H68" s="7">
        <v>0</v>
      </c>
      <c r="I68" s="7"/>
      <c r="J68" s="7"/>
      <c r="K68" s="7">
        <f t="shared" si="38"/>
        <v>0</v>
      </c>
      <c r="L68" s="7">
        <f t="shared" si="39"/>
        <v>0</v>
      </c>
      <c r="M68" s="15">
        <f t="shared" si="46"/>
        <v>1500000</v>
      </c>
      <c r="N68" s="7"/>
      <c r="O68" s="7">
        <f t="shared" si="40"/>
        <v>0</v>
      </c>
      <c r="P68" s="7">
        <f t="shared" si="41"/>
        <v>1500000</v>
      </c>
      <c r="Q68" s="7"/>
      <c r="R68" s="7"/>
      <c r="S68" s="7">
        <f t="shared" si="42"/>
        <v>0</v>
      </c>
      <c r="T68" s="7">
        <f t="shared" si="43"/>
        <v>0</v>
      </c>
      <c r="U68" s="7">
        <f t="shared" si="44"/>
        <v>0</v>
      </c>
      <c r="V68" s="7">
        <f t="shared" si="45"/>
        <v>0</v>
      </c>
      <c r="W68" s="7"/>
      <c r="X68" s="7"/>
      <c r="Y68" s="6"/>
      <c r="Z68" s="71"/>
      <c r="AB68" s="8">
        <v>742000</v>
      </c>
    </row>
    <row r="69" spans="1:30" s="8" customFormat="1" x14ac:dyDescent="0.25">
      <c r="A69" s="6">
        <f t="shared" si="36"/>
        <v>53</v>
      </c>
      <c r="B69" s="14">
        <v>1725</v>
      </c>
      <c r="C69" s="6" t="s">
        <v>69</v>
      </c>
      <c r="D69" s="7">
        <v>13700000</v>
      </c>
      <c r="E69" s="7">
        <v>13700000</v>
      </c>
      <c r="F69" s="7">
        <f t="shared" si="37"/>
        <v>0</v>
      </c>
      <c r="G69" s="7">
        <v>11200000</v>
      </c>
      <c r="H69" s="7">
        <v>4081402.62</v>
      </c>
      <c r="I69" s="7">
        <v>5419655.2400000002</v>
      </c>
      <c r="J69" s="7">
        <v>239128.63</v>
      </c>
      <c r="K69" s="7">
        <f t="shared" si="38"/>
        <v>5658783.8700000001</v>
      </c>
      <c r="L69" s="7">
        <f t="shared" si="39"/>
        <v>9740186.4900000002</v>
      </c>
      <c r="M69" s="15">
        <f t="shared" si="46"/>
        <v>3959813.51</v>
      </c>
      <c r="N69" s="7"/>
      <c r="O69" s="7">
        <f t="shared" si="40"/>
        <v>0</v>
      </c>
      <c r="P69" s="7">
        <f t="shared" si="41"/>
        <v>1459813.5099999998</v>
      </c>
      <c r="Q69" s="7"/>
      <c r="R69" s="7">
        <v>2500000</v>
      </c>
      <c r="S69" s="7">
        <f t="shared" si="42"/>
        <v>2500000</v>
      </c>
      <c r="T69" s="7">
        <f t="shared" si="43"/>
        <v>0</v>
      </c>
      <c r="U69" s="7">
        <f t="shared" si="44"/>
        <v>0</v>
      </c>
      <c r="V69" s="7">
        <f t="shared" si="45"/>
        <v>0</v>
      </c>
      <c r="W69" s="7"/>
      <c r="X69" s="7"/>
      <c r="Y69" s="6"/>
      <c r="Z69" s="71"/>
      <c r="AB69" s="8">
        <v>742000</v>
      </c>
    </row>
    <row r="70" spans="1:30" s="9" customFormat="1" x14ac:dyDescent="0.25">
      <c r="A70" s="6">
        <f t="shared" si="36"/>
        <v>54</v>
      </c>
      <c r="B70" s="14">
        <v>1726</v>
      </c>
      <c r="C70" s="6" t="s">
        <v>100</v>
      </c>
      <c r="D70" s="7">
        <v>700000</v>
      </c>
      <c r="E70" s="7">
        <v>700000</v>
      </c>
      <c r="F70" s="7">
        <f t="shared" si="37"/>
        <v>0</v>
      </c>
      <c r="G70" s="7">
        <v>700000</v>
      </c>
      <c r="H70" s="234">
        <v>466792</v>
      </c>
      <c r="I70" s="234"/>
      <c r="J70" s="234">
        <v>130964</v>
      </c>
      <c r="K70" s="7">
        <f t="shared" si="38"/>
        <v>130964</v>
      </c>
      <c r="L70" s="7">
        <f t="shared" si="39"/>
        <v>597756</v>
      </c>
      <c r="M70" s="15">
        <f t="shared" si="46"/>
        <v>102244</v>
      </c>
      <c r="N70" s="7"/>
      <c r="O70" s="7">
        <f t="shared" si="40"/>
        <v>0</v>
      </c>
      <c r="P70" s="7">
        <f t="shared" si="41"/>
        <v>102244</v>
      </c>
      <c r="Q70" s="7"/>
      <c r="R70" s="7"/>
      <c r="S70" s="7">
        <f t="shared" si="42"/>
        <v>0</v>
      </c>
      <c r="T70" s="7">
        <f t="shared" si="43"/>
        <v>0</v>
      </c>
      <c r="U70" s="7">
        <f t="shared" si="44"/>
        <v>0</v>
      </c>
      <c r="V70" s="7">
        <f t="shared" si="45"/>
        <v>0</v>
      </c>
      <c r="W70" s="7"/>
      <c r="X70" s="7"/>
      <c r="Y70" s="6"/>
      <c r="Z70" s="71"/>
      <c r="AA70" s="8"/>
      <c r="AB70" s="8">
        <v>747000</v>
      </c>
      <c r="AC70" s="8"/>
      <c r="AD70" s="8"/>
    </row>
    <row r="71" spans="1:30" s="8" customFormat="1" x14ac:dyDescent="0.25">
      <c r="A71" s="6">
        <f t="shared" si="36"/>
        <v>55</v>
      </c>
      <c r="B71" s="14">
        <v>1735</v>
      </c>
      <c r="C71" s="6" t="s">
        <v>102</v>
      </c>
      <c r="D71" s="7">
        <v>420000</v>
      </c>
      <c r="E71" s="7">
        <v>420000</v>
      </c>
      <c r="F71" s="7">
        <f t="shared" si="37"/>
        <v>0</v>
      </c>
      <c r="G71" s="7">
        <v>420000</v>
      </c>
      <c r="H71" s="234">
        <v>218120</v>
      </c>
      <c r="I71" s="234">
        <v>13617</v>
      </c>
      <c r="J71" s="234"/>
      <c r="K71" s="7">
        <f t="shared" si="38"/>
        <v>13617</v>
      </c>
      <c r="L71" s="7">
        <f t="shared" si="39"/>
        <v>231737</v>
      </c>
      <c r="M71" s="15">
        <f t="shared" si="46"/>
        <v>188263</v>
      </c>
      <c r="N71" s="7"/>
      <c r="O71" s="7">
        <f t="shared" si="40"/>
        <v>0</v>
      </c>
      <c r="P71" s="7">
        <f t="shared" si="41"/>
        <v>188263</v>
      </c>
      <c r="Q71" s="7"/>
      <c r="R71" s="7"/>
      <c r="S71" s="7">
        <f t="shared" si="42"/>
        <v>0</v>
      </c>
      <c r="T71" s="7">
        <f t="shared" si="43"/>
        <v>0</v>
      </c>
      <c r="U71" s="7">
        <f t="shared" si="44"/>
        <v>0</v>
      </c>
      <c r="V71" s="7">
        <f t="shared" si="45"/>
        <v>0</v>
      </c>
      <c r="W71" s="7"/>
      <c r="X71" s="7"/>
      <c r="Y71" s="6"/>
      <c r="Z71" s="71"/>
      <c r="AB71" s="8">
        <v>742000</v>
      </c>
    </row>
    <row r="72" spans="1:30" s="8" customFormat="1" x14ac:dyDescent="0.25">
      <c r="A72" s="6">
        <f t="shared" si="36"/>
        <v>56</v>
      </c>
      <c r="B72" s="14">
        <v>1736</v>
      </c>
      <c r="C72" s="6" t="s">
        <v>103</v>
      </c>
      <c r="D72" s="7">
        <v>650000</v>
      </c>
      <c r="E72" s="7">
        <v>650000</v>
      </c>
      <c r="F72" s="7">
        <f t="shared" si="37"/>
        <v>0</v>
      </c>
      <c r="G72" s="7">
        <v>650000</v>
      </c>
      <c r="H72" s="234">
        <v>401115</v>
      </c>
      <c r="I72" s="234">
        <v>18464.66</v>
      </c>
      <c r="J72" s="234">
        <v>165755</v>
      </c>
      <c r="K72" s="7">
        <f t="shared" si="38"/>
        <v>184219.66</v>
      </c>
      <c r="L72" s="7">
        <f t="shared" si="39"/>
        <v>585334.66</v>
      </c>
      <c r="M72" s="15">
        <f t="shared" si="46"/>
        <v>64665.339999999967</v>
      </c>
      <c r="N72" s="7"/>
      <c r="O72" s="7">
        <f t="shared" si="40"/>
        <v>0</v>
      </c>
      <c r="P72" s="7">
        <f t="shared" si="41"/>
        <v>64665.339999999967</v>
      </c>
      <c r="Q72" s="7"/>
      <c r="R72" s="7"/>
      <c r="S72" s="7">
        <f t="shared" si="42"/>
        <v>0</v>
      </c>
      <c r="T72" s="7">
        <f t="shared" si="43"/>
        <v>0</v>
      </c>
      <c r="U72" s="7">
        <f t="shared" si="44"/>
        <v>0</v>
      </c>
      <c r="V72" s="7">
        <f t="shared" si="45"/>
        <v>0</v>
      </c>
      <c r="W72" s="7"/>
      <c r="X72" s="7"/>
      <c r="Y72" s="6"/>
      <c r="Z72" s="71"/>
      <c r="AB72" s="8">
        <v>826000</v>
      </c>
    </row>
    <row r="73" spans="1:30" s="8" customFormat="1" x14ac:dyDescent="0.25">
      <c r="A73" s="6">
        <f t="shared" si="36"/>
        <v>57</v>
      </c>
      <c r="B73" s="14">
        <v>1742</v>
      </c>
      <c r="C73" s="6" t="s">
        <v>325</v>
      </c>
      <c r="D73" s="7">
        <v>400000</v>
      </c>
      <c r="E73" s="7">
        <v>400000</v>
      </c>
      <c r="F73" s="7">
        <f t="shared" si="37"/>
        <v>0</v>
      </c>
      <c r="G73" s="7">
        <v>400000</v>
      </c>
      <c r="H73" s="234">
        <v>22863</v>
      </c>
      <c r="I73" s="234">
        <v>8892</v>
      </c>
      <c r="J73" s="234">
        <v>344198</v>
      </c>
      <c r="K73" s="7">
        <f t="shared" si="38"/>
        <v>353090</v>
      </c>
      <c r="L73" s="7">
        <f t="shared" si="39"/>
        <v>375953</v>
      </c>
      <c r="M73" s="15">
        <f t="shared" si="46"/>
        <v>24047</v>
      </c>
      <c r="N73" s="7"/>
      <c r="O73" s="7">
        <f t="shared" si="40"/>
        <v>0</v>
      </c>
      <c r="P73" s="7">
        <f t="shared" si="41"/>
        <v>24047</v>
      </c>
      <c r="Q73" s="7"/>
      <c r="R73" s="7"/>
      <c r="S73" s="7">
        <f t="shared" si="42"/>
        <v>0</v>
      </c>
      <c r="T73" s="7">
        <f t="shared" si="43"/>
        <v>0</v>
      </c>
      <c r="U73" s="7">
        <f t="shared" si="44"/>
        <v>0</v>
      </c>
      <c r="V73" s="7">
        <f t="shared" si="45"/>
        <v>0</v>
      </c>
      <c r="W73" s="7"/>
      <c r="X73" s="7"/>
      <c r="Y73" s="6"/>
      <c r="Z73" s="71"/>
      <c r="AB73" s="8">
        <v>746000</v>
      </c>
    </row>
    <row r="74" spans="1:30" s="9" customFormat="1" x14ac:dyDescent="0.25">
      <c r="A74" s="6">
        <f t="shared" si="36"/>
        <v>58</v>
      </c>
      <c r="B74" s="14">
        <v>1743</v>
      </c>
      <c r="C74" s="6" t="s">
        <v>326</v>
      </c>
      <c r="D74" s="7">
        <v>200000</v>
      </c>
      <c r="E74" s="7">
        <v>200000</v>
      </c>
      <c r="F74" s="7">
        <f t="shared" si="37"/>
        <v>0</v>
      </c>
      <c r="G74" s="7">
        <v>200000</v>
      </c>
      <c r="H74" s="7">
        <v>6132</v>
      </c>
      <c r="I74" s="234">
        <v>193434</v>
      </c>
      <c r="J74" s="7"/>
      <c r="K74" s="7">
        <f t="shared" si="38"/>
        <v>193434</v>
      </c>
      <c r="L74" s="7">
        <f t="shared" si="39"/>
        <v>199566</v>
      </c>
      <c r="M74" s="15">
        <f t="shared" si="46"/>
        <v>434</v>
      </c>
      <c r="N74" s="7"/>
      <c r="O74" s="7">
        <f t="shared" si="40"/>
        <v>0</v>
      </c>
      <c r="P74" s="7">
        <f t="shared" si="41"/>
        <v>434</v>
      </c>
      <c r="Q74" s="7"/>
      <c r="R74" s="7"/>
      <c r="S74" s="7">
        <f t="shared" si="42"/>
        <v>0</v>
      </c>
      <c r="T74" s="7">
        <f t="shared" si="43"/>
        <v>0</v>
      </c>
      <c r="U74" s="7">
        <f t="shared" si="44"/>
        <v>0</v>
      </c>
      <c r="V74" s="7">
        <f t="shared" si="45"/>
        <v>0</v>
      </c>
      <c r="W74" s="7"/>
      <c r="X74" s="7"/>
      <c r="Y74" s="6"/>
      <c r="Z74" s="71"/>
      <c r="AB74" s="8">
        <v>742000</v>
      </c>
    </row>
    <row r="75" spans="1:30" s="8" customFormat="1" x14ac:dyDescent="0.25">
      <c r="A75" s="6">
        <f t="shared" si="36"/>
        <v>59</v>
      </c>
      <c r="B75" s="14">
        <v>1812</v>
      </c>
      <c r="C75" s="6" t="s">
        <v>354</v>
      </c>
      <c r="D75" s="7">
        <v>900000</v>
      </c>
      <c r="E75" s="7">
        <v>900000</v>
      </c>
      <c r="F75" s="7">
        <f t="shared" si="37"/>
        <v>0</v>
      </c>
      <c r="G75" s="7">
        <v>0</v>
      </c>
      <c r="H75" s="7">
        <v>0</v>
      </c>
      <c r="I75" s="7"/>
      <c r="J75" s="7"/>
      <c r="K75" s="7">
        <f t="shared" si="38"/>
        <v>0</v>
      </c>
      <c r="L75" s="7">
        <f t="shared" si="39"/>
        <v>0</v>
      </c>
      <c r="M75" s="15">
        <f t="shared" si="46"/>
        <v>900000</v>
      </c>
      <c r="N75" s="7"/>
      <c r="O75" s="7">
        <f t="shared" si="40"/>
        <v>0</v>
      </c>
      <c r="P75" s="7">
        <f t="shared" si="41"/>
        <v>0</v>
      </c>
      <c r="Q75" s="7"/>
      <c r="R75" s="7">
        <v>900000</v>
      </c>
      <c r="S75" s="7">
        <f t="shared" si="42"/>
        <v>900000</v>
      </c>
      <c r="T75" s="7">
        <f t="shared" si="43"/>
        <v>0</v>
      </c>
      <c r="U75" s="7">
        <f t="shared" si="44"/>
        <v>0</v>
      </c>
      <c r="V75" s="7">
        <f t="shared" si="45"/>
        <v>0</v>
      </c>
      <c r="W75" s="7"/>
      <c r="X75" s="7"/>
      <c r="Y75" s="7"/>
      <c r="Z75" s="71"/>
      <c r="AB75" s="8">
        <v>746000</v>
      </c>
    </row>
    <row r="76" spans="1:30" s="8" customFormat="1" x14ac:dyDescent="0.25">
      <c r="A76" s="6">
        <f t="shared" si="36"/>
        <v>60</v>
      </c>
      <c r="B76" s="14">
        <v>1813</v>
      </c>
      <c r="C76" s="6" t="s">
        <v>355</v>
      </c>
      <c r="D76" s="7">
        <v>1700000</v>
      </c>
      <c r="E76" s="7">
        <v>1700000</v>
      </c>
      <c r="F76" s="7">
        <f t="shared" si="37"/>
        <v>0</v>
      </c>
      <c r="G76" s="7">
        <v>0</v>
      </c>
      <c r="H76" s="7">
        <v>0</v>
      </c>
      <c r="I76" s="7"/>
      <c r="J76" s="7"/>
      <c r="K76" s="7">
        <f t="shared" si="38"/>
        <v>0</v>
      </c>
      <c r="L76" s="7">
        <f t="shared" si="39"/>
        <v>0</v>
      </c>
      <c r="M76" s="15">
        <f t="shared" si="46"/>
        <v>1700000</v>
      </c>
      <c r="N76" s="7"/>
      <c r="O76" s="7">
        <f t="shared" si="40"/>
        <v>0</v>
      </c>
      <c r="P76" s="7">
        <f t="shared" si="41"/>
        <v>0</v>
      </c>
      <c r="Q76" s="7"/>
      <c r="R76" s="7">
        <v>1700000</v>
      </c>
      <c r="S76" s="7">
        <f t="shared" si="42"/>
        <v>1700000</v>
      </c>
      <c r="T76" s="7">
        <f t="shared" si="43"/>
        <v>0</v>
      </c>
      <c r="U76" s="7">
        <f t="shared" si="44"/>
        <v>0</v>
      </c>
      <c r="V76" s="7">
        <f t="shared" si="45"/>
        <v>0</v>
      </c>
      <c r="W76" s="7"/>
      <c r="X76" s="7"/>
      <c r="Y76" s="6"/>
      <c r="Z76" s="71"/>
      <c r="AB76" s="8">
        <v>746000</v>
      </c>
    </row>
    <row r="77" spans="1:30" s="8" customFormat="1" x14ac:dyDescent="0.25">
      <c r="A77" s="6">
        <f t="shared" si="36"/>
        <v>61</v>
      </c>
      <c r="B77" s="14">
        <v>1818</v>
      </c>
      <c r="C77" s="6" t="s">
        <v>357</v>
      </c>
      <c r="D77" s="7">
        <v>2100000</v>
      </c>
      <c r="E77" s="7">
        <v>2100000</v>
      </c>
      <c r="F77" s="7">
        <f t="shared" si="37"/>
        <v>0</v>
      </c>
      <c r="G77" s="7">
        <v>0</v>
      </c>
      <c r="H77" s="7">
        <v>0</v>
      </c>
      <c r="I77" s="7"/>
      <c r="J77" s="7"/>
      <c r="K77" s="7">
        <f t="shared" si="38"/>
        <v>0</v>
      </c>
      <c r="L77" s="7">
        <f t="shared" si="39"/>
        <v>0</v>
      </c>
      <c r="M77" s="15">
        <f t="shared" si="46"/>
        <v>250000</v>
      </c>
      <c r="N77" s="7"/>
      <c r="O77" s="7">
        <f t="shared" si="40"/>
        <v>1850000</v>
      </c>
      <c r="P77" s="7">
        <f t="shared" si="41"/>
        <v>0</v>
      </c>
      <c r="Q77" s="7"/>
      <c r="R77" s="7">
        <v>250000</v>
      </c>
      <c r="S77" s="7">
        <f t="shared" si="42"/>
        <v>250000</v>
      </c>
      <c r="T77" s="7">
        <f t="shared" si="43"/>
        <v>0</v>
      </c>
      <c r="U77" s="7">
        <f t="shared" si="44"/>
        <v>0</v>
      </c>
      <c r="V77" s="7">
        <f t="shared" si="45"/>
        <v>0</v>
      </c>
      <c r="W77" s="7"/>
      <c r="X77" s="7"/>
      <c r="Y77" s="6"/>
      <c r="Z77" s="71"/>
      <c r="AB77" s="8">
        <v>742000</v>
      </c>
    </row>
    <row r="78" spans="1:30" s="9" customFormat="1" x14ac:dyDescent="0.25">
      <c r="A78" s="3"/>
      <c r="B78" s="22"/>
      <c r="C78" s="88" t="s">
        <v>388</v>
      </c>
      <c r="D78" s="89">
        <f t="shared" ref="D78:Z78" si="47">SUM(D30:D77)</f>
        <v>643120191</v>
      </c>
      <c r="E78" s="89">
        <f t="shared" si="47"/>
        <v>640220617</v>
      </c>
      <c r="F78" s="89">
        <f t="shared" si="47"/>
        <v>2899574</v>
      </c>
      <c r="G78" s="89">
        <f t="shared" si="47"/>
        <v>288798492</v>
      </c>
      <c r="H78" s="89">
        <f t="shared" si="47"/>
        <v>227033207.18999991</v>
      </c>
      <c r="I78" s="89">
        <f t="shared" si="47"/>
        <v>10103611.539999999</v>
      </c>
      <c r="J78" s="89">
        <f t="shared" si="47"/>
        <v>12502750.970000001</v>
      </c>
      <c r="K78" s="89">
        <f t="shared" si="47"/>
        <v>22606362.509999998</v>
      </c>
      <c r="L78" s="89">
        <f t="shared" si="47"/>
        <v>249639569.69999993</v>
      </c>
      <c r="M78" s="94">
        <f t="shared" si="47"/>
        <v>53108922.299999997</v>
      </c>
      <c r="N78" s="89">
        <f t="shared" si="47"/>
        <v>82960000</v>
      </c>
      <c r="O78" s="89">
        <f t="shared" si="47"/>
        <v>257411699</v>
      </c>
      <c r="P78" s="89">
        <f t="shared" si="47"/>
        <v>39158922.29999999</v>
      </c>
      <c r="Q78" s="89">
        <f t="shared" si="47"/>
        <v>11300000</v>
      </c>
      <c r="R78" s="89">
        <f t="shared" si="47"/>
        <v>5350000</v>
      </c>
      <c r="S78" s="89">
        <f t="shared" si="47"/>
        <v>16650000</v>
      </c>
      <c r="T78" s="89">
        <f t="shared" si="47"/>
        <v>2700000</v>
      </c>
      <c r="U78" s="89">
        <f t="shared" si="47"/>
        <v>80260000</v>
      </c>
      <c r="V78" s="89">
        <f t="shared" si="47"/>
        <v>60517556</v>
      </c>
      <c r="W78" s="89">
        <f t="shared" si="47"/>
        <v>0</v>
      </c>
      <c r="X78" s="89">
        <f t="shared" si="47"/>
        <v>0</v>
      </c>
      <c r="Y78" s="89">
        <f t="shared" si="47"/>
        <v>19742444</v>
      </c>
      <c r="Z78" s="89">
        <f t="shared" si="47"/>
        <v>0</v>
      </c>
      <c r="AB78" s="8"/>
    </row>
    <row r="79" spans="1:30" s="9" customFormat="1" x14ac:dyDescent="0.25">
      <c r="A79" s="3"/>
      <c r="B79" s="22"/>
      <c r="C79" s="88"/>
      <c r="D79" s="89"/>
      <c r="E79" s="89"/>
      <c r="F79" s="89"/>
      <c r="G79" s="89"/>
      <c r="H79" s="89"/>
      <c r="I79" s="89"/>
      <c r="J79" s="89"/>
      <c r="K79" s="89"/>
      <c r="L79" s="89"/>
      <c r="M79" s="94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B79" s="8"/>
    </row>
    <row r="80" spans="1:30" s="9" customFormat="1" x14ac:dyDescent="0.25">
      <c r="A80" s="3"/>
      <c r="B80" s="22"/>
      <c r="C80" s="88" t="s">
        <v>389</v>
      </c>
      <c r="D80" s="89"/>
      <c r="E80" s="89"/>
      <c r="F80" s="89"/>
      <c r="G80" s="89"/>
      <c r="H80" s="89"/>
      <c r="I80" s="89"/>
      <c r="J80" s="89"/>
      <c r="K80" s="89"/>
      <c r="L80" s="89"/>
      <c r="M80" s="94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B80" s="8"/>
    </row>
    <row r="81" spans="1:30" s="8" customFormat="1" x14ac:dyDescent="0.25">
      <c r="A81" s="6">
        <f>A77+1</f>
        <v>62</v>
      </c>
      <c r="B81" s="14">
        <v>592</v>
      </c>
      <c r="C81" s="6" t="s">
        <v>42</v>
      </c>
      <c r="D81" s="7">
        <v>24500000</v>
      </c>
      <c r="E81" s="7">
        <v>24500000</v>
      </c>
      <c r="F81" s="7">
        <f t="shared" ref="F81:F102" si="48">D81-E81</f>
        <v>0</v>
      </c>
      <c r="G81" s="7">
        <v>18420000</v>
      </c>
      <c r="H81" s="234">
        <v>16770998</v>
      </c>
      <c r="I81" s="234">
        <v>529911</v>
      </c>
      <c r="J81" s="234">
        <v>311958.93</v>
      </c>
      <c r="K81" s="7">
        <f t="shared" ref="K81:K94" si="49">SUM(I81:J81)</f>
        <v>841869.92999999993</v>
      </c>
      <c r="L81" s="7">
        <f t="shared" ref="L81:L94" si="50">H81+K81</f>
        <v>17612867.93</v>
      </c>
      <c r="M81" s="15">
        <f t="shared" ref="M81:M101" si="51">P81+S81</f>
        <v>807132.0700000003</v>
      </c>
      <c r="N81" s="7"/>
      <c r="O81" s="7">
        <f t="shared" ref="O81:O102" si="52">D81-L81-M81-N81</f>
        <v>6080000</v>
      </c>
      <c r="P81" s="7">
        <f t="shared" ref="P81:P94" si="53">G81-L81</f>
        <v>807132.0700000003</v>
      </c>
      <c r="Q81" s="7"/>
      <c r="R81" s="7"/>
      <c r="S81" s="7">
        <f t="shared" ref="S81:S101" si="54">SUM(Q81:R81)</f>
        <v>0</v>
      </c>
      <c r="T81" s="7">
        <f t="shared" ref="T81:T94" si="55">P81-M81+S81</f>
        <v>0</v>
      </c>
      <c r="U81" s="7">
        <f t="shared" ref="U81:U102" si="56">N81-T81</f>
        <v>0</v>
      </c>
      <c r="V81" s="7">
        <f t="shared" ref="V81:V102" si="57">U81-Y81-W81-X81</f>
        <v>0</v>
      </c>
      <c r="W81" s="7"/>
      <c r="X81" s="7"/>
      <c r="Y81" s="6"/>
      <c r="Z81" s="71"/>
      <c r="AA81" s="9"/>
      <c r="AB81" s="8">
        <v>742000</v>
      </c>
      <c r="AC81" s="9"/>
      <c r="AD81" s="9"/>
    </row>
    <row r="82" spans="1:30" s="8" customFormat="1" x14ac:dyDescent="0.25">
      <c r="A82" s="6">
        <f>A81+1</f>
        <v>63</v>
      </c>
      <c r="B82" s="14">
        <v>606</v>
      </c>
      <c r="C82" s="6" t="s">
        <v>106</v>
      </c>
      <c r="D82" s="7">
        <v>2800000</v>
      </c>
      <c r="E82" s="7">
        <v>2800000</v>
      </c>
      <c r="F82" s="7">
        <f t="shared" si="48"/>
        <v>0</v>
      </c>
      <c r="G82" s="7">
        <v>550000</v>
      </c>
      <c r="H82" s="7">
        <v>388487.75</v>
      </c>
      <c r="I82" s="7">
        <v>35988.5</v>
      </c>
      <c r="J82" s="7"/>
      <c r="K82" s="7">
        <f t="shared" si="49"/>
        <v>35988.5</v>
      </c>
      <c r="L82" s="7">
        <f t="shared" si="50"/>
        <v>424476.25</v>
      </c>
      <c r="M82" s="15">
        <f t="shared" si="51"/>
        <v>125523.75</v>
      </c>
      <c r="N82" s="7"/>
      <c r="O82" s="7">
        <f t="shared" si="52"/>
        <v>2250000</v>
      </c>
      <c r="P82" s="7">
        <f t="shared" si="53"/>
        <v>125523.75</v>
      </c>
      <c r="Q82" s="7"/>
      <c r="R82" s="7"/>
      <c r="S82" s="7">
        <f t="shared" si="54"/>
        <v>0</v>
      </c>
      <c r="T82" s="7">
        <f t="shared" si="55"/>
        <v>0</v>
      </c>
      <c r="U82" s="7">
        <f t="shared" si="56"/>
        <v>0</v>
      </c>
      <c r="V82" s="7">
        <f t="shared" si="57"/>
        <v>0</v>
      </c>
      <c r="W82" s="7"/>
      <c r="X82" s="7"/>
      <c r="Y82" s="6"/>
      <c r="Z82" s="71"/>
      <c r="AB82" s="8">
        <v>742000</v>
      </c>
    </row>
    <row r="83" spans="1:30" s="9" customFormat="1" x14ac:dyDescent="0.25">
      <c r="A83" s="6">
        <f t="shared" ref="A83:A102" si="58">A82+1</f>
        <v>64</v>
      </c>
      <c r="B83" s="14">
        <v>626</v>
      </c>
      <c r="C83" s="6" t="s">
        <v>76</v>
      </c>
      <c r="D83" s="7">
        <v>20025000</v>
      </c>
      <c r="E83" s="7">
        <v>20025000</v>
      </c>
      <c r="F83" s="7">
        <f t="shared" si="48"/>
        <v>0</v>
      </c>
      <c r="G83" s="7">
        <v>14025000</v>
      </c>
      <c r="H83" s="7">
        <v>13486356.77</v>
      </c>
      <c r="I83" s="7">
        <v>84584.320000000007</v>
      </c>
      <c r="J83" s="7">
        <v>292880.48</v>
      </c>
      <c r="K83" s="7">
        <f t="shared" si="49"/>
        <v>377464.8</v>
      </c>
      <c r="L83" s="7">
        <f t="shared" si="50"/>
        <v>13863821.57</v>
      </c>
      <c r="M83" s="15">
        <f t="shared" si="51"/>
        <v>161178.4299999997</v>
      </c>
      <c r="N83" s="15">
        <v>500000</v>
      </c>
      <c r="O83" s="7">
        <f t="shared" si="52"/>
        <v>5500000</v>
      </c>
      <c r="P83" s="7">
        <f t="shared" si="53"/>
        <v>161178.4299999997</v>
      </c>
      <c r="Q83" s="7"/>
      <c r="R83" s="7"/>
      <c r="S83" s="7">
        <f t="shared" si="54"/>
        <v>0</v>
      </c>
      <c r="T83" s="7">
        <f t="shared" si="55"/>
        <v>0</v>
      </c>
      <c r="U83" s="7">
        <f t="shared" si="56"/>
        <v>500000</v>
      </c>
      <c r="V83" s="7">
        <f t="shared" si="57"/>
        <v>500000</v>
      </c>
      <c r="W83" s="7"/>
      <c r="X83" s="7"/>
      <c r="Y83" s="6"/>
      <c r="Z83" s="71"/>
      <c r="AA83" s="8"/>
      <c r="AB83" s="8">
        <v>732000</v>
      </c>
      <c r="AC83" s="8"/>
      <c r="AD83" s="8"/>
    </row>
    <row r="84" spans="1:30" s="8" customFormat="1" x14ac:dyDescent="0.25">
      <c r="A84" s="6">
        <f t="shared" si="58"/>
        <v>65</v>
      </c>
      <c r="B84" s="224">
        <v>1018</v>
      </c>
      <c r="C84" s="6" t="s">
        <v>43</v>
      </c>
      <c r="D84" s="7">
        <v>31900000</v>
      </c>
      <c r="E84" s="7">
        <v>31900000</v>
      </c>
      <c r="F84" s="7">
        <f t="shared" si="48"/>
        <v>0</v>
      </c>
      <c r="G84" s="7">
        <v>3100000</v>
      </c>
      <c r="H84" s="7">
        <v>2998175.79</v>
      </c>
      <c r="I84" s="7"/>
      <c r="J84" s="7">
        <v>84192.99</v>
      </c>
      <c r="K84" s="7">
        <f t="shared" si="49"/>
        <v>84192.99</v>
      </c>
      <c r="L84" s="7">
        <f t="shared" si="50"/>
        <v>3082368.7800000003</v>
      </c>
      <c r="M84" s="15">
        <f t="shared" si="51"/>
        <v>3017631.2199999997</v>
      </c>
      <c r="N84" s="7">
        <f>6000000-4000000</f>
        <v>2000000</v>
      </c>
      <c r="O84" s="7">
        <f t="shared" si="52"/>
        <v>23800000</v>
      </c>
      <c r="P84" s="7">
        <f t="shared" si="53"/>
        <v>17631.219999999739</v>
      </c>
      <c r="Q84" s="7">
        <v>3000000</v>
      </c>
      <c r="R84" s="7"/>
      <c r="S84" s="7">
        <f t="shared" si="54"/>
        <v>3000000</v>
      </c>
      <c r="T84" s="7">
        <f t="shared" si="55"/>
        <v>0</v>
      </c>
      <c r="U84" s="7">
        <f t="shared" si="56"/>
        <v>2000000</v>
      </c>
      <c r="V84" s="7">
        <f t="shared" si="57"/>
        <v>2000000</v>
      </c>
      <c r="W84" s="7"/>
      <c r="X84" s="7"/>
      <c r="Y84" s="6"/>
      <c r="Z84" s="71"/>
      <c r="AA84" s="9"/>
      <c r="AB84" s="8">
        <v>742000</v>
      </c>
      <c r="AC84" s="9"/>
      <c r="AD84" s="9"/>
    </row>
    <row r="85" spans="1:30" s="8" customFormat="1" x14ac:dyDescent="0.25">
      <c r="A85" s="6">
        <f t="shared" si="58"/>
        <v>66</v>
      </c>
      <c r="B85" s="14">
        <v>1322</v>
      </c>
      <c r="C85" s="6" t="s">
        <v>56</v>
      </c>
      <c r="D85" s="7">
        <v>18500000</v>
      </c>
      <c r="E85" s="7">
        <v>18500000</v>
      </c>
      <c r="F85" s="7">
        <f t="shared" si="48"/>
        <v>0</v>
      </c>
      <c r="G85" s="7">
        <v>11400000</v>
      </c>
      <c r="H85" s="7">
        <v>9557929.5899999999</v>
      </c>
      <c r="I85" s="7">
        <v>62456.36</v>
      </c>
      <c r="J85" s="7">
        <v>1374648.95</v>
      </c>
      <c r="K85" s="7">
        <f t="shared" si="49"/>
        <v>1437105.31</v>
      </c>
      <c r="L85" s="7">
        <f t="shared" si="50"/>
        <v>10995034.9</v>
      </c>
      <c r="M85" s="15">
        <f t="shared" si="51"/>
        <v>404965.09999999963</v>
      </c>
      <c r="N85" s="7"/>
      <c r="O85" s="7">
        <f t="shared" si="52"/>
        <v>7100000</v>
      </c>
      <c r="P85" s="7">
        <f t="shared" si="53"/>
        <v>404965.09999999963</v>
      </c>
      <c r="Q85" s="7"/>
      <c r="R85" s="7"/>
      <c r="S85" s="7">
        <f t="shared" si="54"/>
        <v>0</v>
      </c>
      <c r="T85" s="7">
        <f t="shared" si="55"/>
        <v>0</v>
      </c>
      <c r="U85" s="7">
        <f t="shared" si="56"/>
        <v>0</v>
      </c>
      <c r="V85" s="7">
        <f t="shared" si="57"/>
        <v>0</v>
      </c>
      <c r="W85" s="7"/>
      <c r="X85" s="7"/>
      <c r="Y85" s="7"/>
      <c r="Z85" s="71"/>
      <c r="AA85" s="9"/>
      <c r="AB85" s="8">
        <v>742000</v>
      </c>
      <c r="AC85" s="9"/>
      <c r="AD85" s="9"/>
    </row>
    <row r="86" spans="1:30" s="9" customFormat="1" x14ac:dyDescent="0.25">
      <c r="A86" s="6">
        <f t="shared" si="58"/>
        <v>67</v>
      </c>
      <c r="B86" s="14">
        <v>1605</v>
      </c>
      <c r="C86" s="6" t="s">
        <v>586</v>
      </c>
      <c r="D86" s="7">
        <v>2200000</v>
      </c>
      <c r="E86" s="7">
        <v>2200000</v>
      </c>
      <c r="F86" s="7">
        <f t="shared" si="48"/>
        <v>0</v>
      </c>
      <c r="G86" s="7">
        <v>0</v>
      </c>
      <c r="H86" s="7">
        <v>0</v>
      </c>
      <c r="I86" s="7"/>
      <c r="J86" s="7"/>
      <c r="K86" s="7">
        <f t="shared" si="49"/>
        <v>0</v>
      </c>
      <c r="L86" s="7">
        <f t="shared" si="50"/>
        <v>0</v>
      </c>
      <c r="M86" s="15">
        <f t="shared" si="51"/>
        <v>0</v>
      </c>
      <c r="N86" s="7">
        <v>2200000</v>
      </c>
      <c r="O86" s="7">
        <f t="shared" si="52"/>
        <v>0</v>
      </c>
      <c r="P86" s="7">
        <f t="shared" si="53"/>
        <v>0</v>
      </c>
      <c r="Q86" s="7"/>
      <c r="R86" s="7"/>
      <c r="S86" s="7">
        <f t="shared" si="54"/>
        <v>0</v>
      </c>
      <c r="T86" s="7">
        <f t="shared" si="55"/>
        <v>0</v>
      </c>
      <c r="U86" s="7">
        <f t="shared" si="56"/>
        <v>2200000</v>
      </c>
      <c r="V86" s="7">
        <f t="shared" si="57"/>
        <v>2200000</v>
      </c>
      <c r="W86" s="7"/>
      <c r="X86" s="7"/>
      <c r="Y86" s="6"/>
      <c r="Z86" s="71"/>
      <c r="AB86" s="8">
        <v>850000</v>
      </c>
    </row>
    <row r="87" spans="1:30" s="8" customFormat="1" ht="15.6" x14ac:dyDescent="0.25">
      <c r="A87" s="6">
        <f t="shared" si="58"/>
        <v>68</v>
      </c>
      <c r="B87" s="14">
        <v>1718</v>
      </c>
      <c r="C87" s="6" t="s">
        <v>97</v>
      </c>
      <c r="D87" s="7">
        <v>13200000</v>
      </c>
      <c r="E87" s="7">
        <v>1000000</v>
      </c>
      <c r="F87" s="7">
        <f t="shared" si="48"/>
        <v>12200000</v>
      </c>
      <c r="G87" s="7">
        <v>1000000</v>
      </c>
      <c r="H87" s="7">
        <v>0</v>
      </c>
      <c r="I87" s="7">
        <v>74337.64</v>
      </c>
      <c r="J87" s="7"/>
      <c r="K87" s="7">
        <f t="shared" si="49"/>
        <v>74337.64</v>
      </c>
      <c r="L87" s="7">
        <f t="shared" si="50"/>
        <v>74337.64</v>
      </c>
      <c r="M87" s="15">
        <f t="shared" si="51"/>
        <v>925662.36</v>
      </c>
      <c r="N87" s="7">
        <f>12200000/2</f>
        <v>6100000</v>
      </c>
      <c r="O87" s="7">
        <f t="shared" si="52"/>
        <v>6100000</v>
      </c>
      <c r="P87" s="7">
        <f t="shared" si="53"/>
        <v>925662.36</v>
      </c>
      <c r="Q87" s="7"/>
      <c r="R87" s="7"/>
      <c r="S87" s="7">
        <f t="shared" si="54"/>
        <v>0</v>
      </c>
      <c r="T87" s="7">
        <f t="shared" si="55"/>
        <v>0</v>
      </c>
      <c r="U87" s="7">
        <f t="shared" si="56"/>
        <v>6100000</v>
      </c>
      <c r="V87" s="7">
        <f t="shared" si="57"/>
        <v>6100000</v>
      </c>
      <c r="W87" s="7"/>
      <c r="X87" s="7"/>
      <c r="Y87" s="6"/>
      <c r="Z87" s="71"/>
      <c r="AA87" s="66"/>
      <c r="AB87" s="8">
        <v>742000</v>
      </c>
      <c r="AC87" s="66"/>
      <c r="AD87" s="66"/>
    </row>
    <row r="88" spans="1:30" s="9" customFormat="1" x14ac:dyDescent="0.25">
      <c r="A88" s="6">
        <f t="shared" si="58"/>
        <v>69</v>
      </c>
      <c r="B88" s="14">
        <v>1723</v>
      </c>
      <c r="C88" s="6" t="s">
        <v>47</v>
      </c>
      <c r="D88" s="7">
        <v>9500000</v>
      </c>
      <c r="E88" s="7">
        <v>9500000</v>
      </c>
      <c r="F88" s="7">
        <f t="shared" si="48"/>
        <v>0</v>
      </c>
      <c r="G88" s="7">
        <v>2000000</v>
      </c>
      <c r="H88" s="7">
        <v>0</v>
      </c>
      <c r="I88" s="7">
        <v>44462.400000000001</v>
      </c>
      <c r="J88" s="7"/>
      <c r="K88" s="7">
        <f t="shared" si="49"/>
        <v>44462.400000000001</v>
      </c>
      <c r="L88" s="7">
        <f t="shared" si="50"/>
        <v>44462.400000000001</v>
      </c>
      <c r="M88" s="15">
        <f t="shared" si="51"/>
        <v>1955537.6</v>
      </c>
      <c r="N88" s="7">
        <v>7500000</v>
      </c>
      <c r="O88" s="7">
        <f t="shared" si="52"/>
        <v>0</v>
      </c>
      <c r="P88" s="7">
        <f t="shared" si="53"/>
        <v>1955537.6</v>
      </c>
      <c r="Q88" s="7"/>
      <c r="R88" s="7"/>
      <c r="S88" s="7">
        <f t="shared" si="54"/>
        <v>0</v>
      </c>
      <c r="T88" s="7">
        <f t="shared" si="55"/>
        <v>0</v>
      </c>
      <c r="U88" s="7">
        <f t="shared" si="56"/>
        <v>7500000</v>
      </c>
      <c r="V88" s="7">
        <f t="shared" si="57"/>
        <v>0</v>
      </c>
      <c r="W88" s="7"/>
      <c r="X88" s="7"/>
      <c r="Y88" s="7">
        <v>7500000</v>
      </c>
      <c r="Z88" s="71"/>
      <c r="AA88" s="8"/>
      <c r="AB88" s="8">
        <v>732000</v>
      </c>
      <c r="AC88" s="8"/>
      <c r="AD88" s="8"/>
    </row>
    <row r="89" spans="1:30" s="8" customFormat="1" x14ac:dyDescent="0.25">
      <c r="A89" s="6">
        <f t="shared" si="58"/>
        <v>70</v>
      </c>
      <c r="B89" s="14">
        <v>1796</v>
      </c>
      <c r="C89" s="6" t="s">
        <v>613</v>
      </c>
      <c r="D89" s="7">
        <v>23500000</v>
      </c>
      <c r="E89" s="7">
        <v>3000000</v>
      </c>
      <c r="F89" s="7">
        <f t="shared" si="48"/>
        <v>20500000</v>
      </c>
      <c r="G89" s="7">
        <v>0</v>
      </c>
      <c r="H89" s="7">
        <v>0</v>
      </c>
      <c r="I89" s="7"/>
      <c r="J89" s="7"/>
      <c r="K89" s="7">
        <f t="shared" si="49"/>
        <v>0</v>
      </c>
      <c r="L89" s="7">
        <f t="shared" si="50"/>
        <v>0</v>
      </c>
      <c r="M89" s="15">
        <f t="shared" si="51"/>
        <v>500000</v>
      </c>
      <c r="N89" s="7">
        <v>500000</v>
      </c>
      <c r="O89" s="7">
        <f t="shared" si="52"/>
        <v>22500000</v>
      </c>
      <c r="P89" s="7">
        <f t="shared" si="53"/>
        <v>0</v>
      </c>
      <c r="Q89" s="7"/>
      <c r="R89" s="7">
        <v>500000</v>
      </c>
      <c r="S89" s="7">
        <f t="shared" si="54"/>
        <v>500000</v>
      </c>
      <c r="T89" s="7">
        <f t="shared" si="55"/>
        <v>0</v>
      </c>
      <c r="U89" s="7">
        <f t="shared" si="56"/>
        <v>500000</v>
      </c>
      <c r="V89" s="7">
        <f t="shared" si="57"/>
        <v>500000</v>
      </c>
      <c r="W89" s="7"/>
      <c r="X89" s="7"/>
      <c r="Y89" s="7"/>
      <c r="Z89" s="71"/>
      <c r="AB89" s="8">
        <v>810000</v>
      </c>
    </row>
    <row r="90" spans="1:30" s="8" customFormat="1" x14ac:dyDescent="0.25">
      <c r="A90" s="6">
        <f t="shared" si="58"/>
        <v>71</v>
      </c>
      <c r="B90" s="14">
        <v>1798</v>
      </c>
      <c r="C90" s="6" t="s">
        <v>350</v>
      </c>
      <c r="D90" s="7">
        <v>1600000</v>
      </c>
      <c r="E90" s="7">
        <v>1600000</v>
      </c>
      <c r="F90" s="7">
        <f t="shared" si="48"/>
        <v>0</v>
      </c>
      <c r="G90" s="7">
        <v>600000</v>
      </c>
      <c r="H90" s="7">
        <v>0</v>
      </c>
      <c r="I90" s="7">
        <v>3587.2</v>
      </c>
      <c r="J90" s="7">
        <v>5556.62</v>
      </c>
      <c r="K90" s="7">
        <f t="shared" si="49"/>
        <v>9143.82</v>
      </c>
      <c r="L90" s="7">
        <f t="shared" si="50"/>
        <v>9143.82</v>
      </c>
      <c r="M90" s="15">
        <f t="shared" si="51"/>
        <v>590856.18000000005</v>
      </c>
      <c r="N90" s="7">
        <v>1000000</v>
      </c>
      <c r="O90" s="7">
        <f t="shared" si="52"/>
        <v>0</v>
      </c>
      <c r="P90" s="7">
        <f t="shared" si="53"/>
        <v>590856.18000000005</v>
      </c>
      <c r="Q90" s="7"/>
      <c r="R90" s="7"/>
      <c r="S90" s="7">
        <f t="shared" si="54"/>
        <v>0</v>
      </c>
      <c r="T90" s="7">
        <f t="shared" si="55"/>
        <v>0</v>
      </c>
      <c r="U90" s="7">
        <f t="shared" si="56"/>
        <v>1000000</v>
      </c>
      <c r="V90" s="7">
        <f t="shared" si="57"/>
        <v>1000000</v>
      </c>
      <c r="W90" s="7"/>
      <c r="X90" s="7"/>
      <c r="Y90" s="6"/>
      <c r="Z90" s="71"/>
      <c r="AB90" s="8">
        <v>829000</v>
      </c>
    </row>
    <row r="91" spans="1:30" s="8" customFormat="1" x14ac:dyDescent="0.25">
      <c r="A91" s="6">
        <f t="shared" si="58"/>
        <v>72</v>
      </c>
      <c r="B91" s="14">
        <v>1804</v>
      </c>
      <c r="C91" s="6" t="s">
        <v>352</v>
      </c>
      <c r="D91" s="7">
        <v>200000</v>
      </c>
      <c r="E91" s="7">
        <v>200000</v>
      </c>
      <c r="F91" s="7">
        <f t="shared" si="48"/>
        <v>0</v>
      </c>
      <c r="G91" s="7">
        <v>200000</v>
      </c>
      <c r="H91" s="7">
        <v>0</v>
      </c>
      <c r="I91" s="7"/>
      <c r="J91" s="7"/>
      <c r="K91" s="7">
        <f t="shared" si="49"/>
        <v>0</v>
      </c>
      <c r="L91" s="7">
        <f t="shared" si="50"/>
        <v>0</v>
      </c>
      <c r="M91" s="15">
        <f t="shared" si="51"/>
        <v>200000</v>
      </c>
      <c r="N91" s="7"/>
      <c r="O91" s="7">
        <f t="shared" si="52"/>
        <v>0</v>
      </c>
      <c r="P91" s="7">
        <f t="shared" si="53"/>
        <v>200000</v>
      </c>
      <c r="Q91" s="7"/>
      <c r="R91" s="7"/>
      <c r="S91" s="7">
        <f t="shared" si="54"/>
        <v>0</v>
      </c>
      <c r="T91" s="7">
        <f t="shared" si="55"/>
        <v>0</v>
      </c>
      <c r="U91" s="7">
        <f t="shared" si="56"/>
        <v>0</v>
      </c>
      <c r="V91" s="7">
        <f t="shared" si="57"/>
        <v>0</v>
      </c>
      <c r="W91" s="7"/>
      <c r="X91" s="7"/>
      <c r="Y91" s="6"/>
      <c r="Z91" s="71"/>
      <c r="AB91" s="8">
        <v>742000</v>
      </c>
    </row>
    <row r="92" spans="1:30" s="8" customFormat="1" x14ac:dyDescent="0.25">
      <c r="A92" s="6">
        <f t="shared" si="58"/>
        <v>73</v>
      </c>
      <c r="B92" s="14">
        <v>1814</v>
      </c>
      <c r="C92" s="6" t="s">
        <v>356</v>
      </c>
      <c r="D92" s="7">
        <f>2100000-1850000</f>
        <v>250000</v>
      </c>
      <c r="E92" s="7">
        <v>250000</v>
      </c>
      <c r="F92" s="7">
        <f t="shared" si="48"/>
        <v>0</v>
      </c>
      <c r="G92" s="7">
        <v>0</v>
      </c>
      <c r="H92" s="7">
        <v>0</v>
      </c>
      <c r="I92" s="7"/>
      <c r="J92" s="7"/>
      <c r="K92" s="7">
        <f t="shared" si="49"/>
        <v>0</v>
      </c>
      <c r="L92" s="7">
        <f t="shared" si="50"/>
        <v>0</v>
      </c>
      <c r="M92" s="15">
        <f t="shared" si="51"/>
        <v>250000</v>
      </c>
      <c r="N92" s="7"/>
      <c r="O92" s="7">
        <f t="shared" si="52"/>
        <v>0</v>
      </c>
      <c r="P92" s="7">
        <f t="shared" si="53"/>
        <v>0</v>
      </c>
      <c r="Q92" s="7"/>
      <c r="R92" s="7">
        <v>250000</v>
      </c>
      <c r="S92" s="7">
        <f t="shared" si="54"/>
        <v>250000</v>
      </c>
      <c r="T92" s="7">
        <f t="shared" si="55"/>
        <v>0</v>
      </c>
      <c r="U92" s="7">
        <f t="shared" si="56"/>
        <v>0</v>
      </c>
      <c r="V92" s="7">
        <f t="shared" si="57"/>
        <v>0</v>
      </c>
      <c r="W92" s="7"/>
      <c r="X92" s="7"/>
      <c r="Y92" s="6"/>
      <c r="Z92" s="71"/>
      <c r="AB92" s="8">
        <v>742000</v>
      </c>
    </row>
    <row r="93" spans="1:30" s="8" customFormat="1" x14ac:dyDescent="0.25">
      <c r="A93" s="6">
        <f t="shared" si="58"/>
        <v>74</v>
      </c>
      <c r="B93" s="14">
        <v>1819</v>
      </c>
      <c r="C93" s="6" t="s">
        <v>358</v>
      </c>
      <c r="D93" s="7">
        <v>18000000</v>
      </c>
      <c r="E93" s="7">
        <v>18000000</v>
      </c>
      <c r="F93" s="7">
        <f t="shared" si="48"/>
        <v>0</v>
      </c>
      <c r="G93" s="7">
        <v>0</v>
      </c>
      <c r="H93" s="7">
        <v>0</v>
      </c>
      <c r="I93" s="7"/>
      <c r="J93" s="7"/>
      <c r="K93" s="7">
        <f t="shared" si="49"/>
        <v>0</v>
      </c>
      <c r="L93" s="7">
        <f t="shared" si="50"/>
        <v>0</v>
      </c>
      <c r="M93" s="15">
        <f t="shared" si="51"/>
        <v>200000</v>
      </c>
      <c r="N93" s="7"/>
      <c r="O93" s="7">
        <f t="shared" si="52"/>
        <v>17800000</v>
      </c>
      <c r="P93" s="7">
        <f t="shared" si="53"/>
        <v>0</v>
      </c>
      <c r="Q93" s="7"/>
      <c r="R93" s="7">
        <v>200000</v>
      </c>
      <c r="S93" s="7">
        <f t="shared" si="54"/>
        <v>200000</v>
      </c>
      <c r="T93" s="7">
        <f t="shared" si="55"/>
        <v>0</v>
      </c>
      <c r="U93" s="7">
        <f t="shared" si="56"/>
        <v>0</v>
      </c>
      <c r="V93" s="7">
        <f t="shared" si="57"/>
        <v>0</v>
      </c>
      <c r="W93" s="7"/>
      <c r="X93" s="7"/>
      <c r="Y93" s="6"/>
      <c r="Z93" s="71"/>
      <c r="AB93" s="8">
        <v>742000</v>
      </c>
    </row>
    <row r="94" spans="1:30" s="8" customFormat="1" x14ac:dyDescent="0.25">
      <c r="A94" s="6">
        <f t="shared" si="58"/>
        <v>75</v>
      </c>
      <c r="B94" s="14">
        <v>1820</v>
      </c>
      <c r="C94" s="6" t="s">
        <v>600</v>
      </c>
      <c r="D94" s="7">
        <f>22810000-22610000</f>
        <v>200000</v>
      </c>
      <c r="E94" s="7">
        <v>200000</v>
      </c>
      <c r="F94" s="7">
        <f t="shared" si="48"/>
        <v>0</v>
      </c>
      <c r="G94" s="7">
        <v>0</v>
      </c>
      <c r="H94" s="7">
        <v>0</v>
      </c>
      <c r="I94" s="7"/>
      <c r="J94" s="7"/>
      <c r="K94" s="7">
        <f t="shared" si="49"/>
        <v>0</v>
      </c>
      <c r="L94" s="7">
        <f t="shared" si="50"/>
        <v>0</v>
      </c>
      <c r="M94" s="15">
        <f t="shared" si="51"/>
        <v>200000</v>
      </c>
      <c r="N94" s="7"/>
      <c r="O94" s="7">
        <f t="shared" si="52"/>
        <v>0</v>
      </c>
      <c r="P94" s="7">
        <f t="shared" si="53"/>
        <v>0</v>
      </c>
      <c r="Q94" s="7"/>
      <c r="R94" s="7">
        <v>200000</v>
      </c>
      <c r="S94" s="7">
        <f t="shared" si="54"/>
        <v>200000</v>
      </c>
      <c r="T94" s="7">
        <f t="shared" si="55"/>
        <v>0</v>
      </c>
      <c r="U94" s="7">
        <f t="shared" si="56"/>
        <v>0</v>
      </c>
      <c r="V94" s="7">
        <f t="shared" si="57"/>
        <v>0</v>
      </c>
      <c r="W94" s="7"/>
      <c r="X94" s="7"/>
      <c r="Y94" s="6"/>
      <c r="Z94" s="71"/>
      <c r="AB94" s="8">
        <v>742000</v>
      </c>
    </row>
    <row r="95" spans="1:30" s="8" customFormat="1" x14ac:dyDescent="0.25">
      <c r="A95" s="6">
        <f t="shared" si="58"/>
        <v>76</v>
      </c>
      <c r="B95" s="14">
        <v>1824</v>
      </c>
      <c r="C95" s="6" t="s">
        <v>398</v>
      </c>
      <c r="D95" s="7">
        <v>1000000</v>
      </c>
      <c r="E95" s="7"/>
      <c r="F95" s="7">
        <f t="shared" si="48"/>
        <v>1000000</v>
      </c>
      <c r="G95" s="7"/>
      <c r="H95" s="7"/>
      <c r="I95" s="7"/>
      <c r="J95" s="7"/>
      <c r="K95" s="7"/>
      <c r="L95" s="7"/>
      <c r="M95" s="15">
        <f t="shared" si="51"/>
        <v>100000</v>
      </c>
      <c r="N95" s="7"/>
      <c r="O95" s="7">
        <f t="shared" si="52"/>
        <v>900000</v>
      </c>
      <c r="P95" s="7"/>
      <c r="Q95" s="7"/>
      <c r="R95" s="7">
        <v>100000</v>
      </c>
      <c r="S95" s="7">
        <f t="shared" si="54"/>
        <v>100000</v>
      </c>
      <c r="T95" s="7"/>
      <c r="U95" s="7">
        <f t="shared" si="56"/>
        <v>0</v>
      </c>
      <c r="V95" s="7">
        <f t="shared" si="57"/>
        <v>0</v>
      </c>
      <c r="W95" s="7"/>
      <c r="X95" s="7"/>
      <c r="Y95" s="6"/>
      <c r="Z95" s="71"/>
      <c r="AB95" s="8">
        <v>746000</v>
      </c>
    </row>
    <row r="96" spans="1:30" s="66" customFormat="1" ht="27" customHeight="1" x14ac:dyDescent="0.25">
      <c r="A96" s="6">
        <f t="shared" si="58"/>
        <v>77</v>
      </c>
      <c r="B96" s="14">
        <v>1825</v>
      </c>
      <c r="C96" s="6" t="s">
        <v>399</v>
      </c>
      <c r="D96" s="7">
        <v>23500000</v>
      </c>
      <c r="E96" s="7">
        <v>500000</v>
      </c>
      <c r="F96" s="7">
        <f t="shared" si="48"/>
        <v>23000000</v>
      </c>
      <c r="G96" s="7"/>
      <c r="H96" s="7"/>
      <c r="I96" s="7"/>
      <c r="J96" s="7"/>
      <c r="K96" s="7"/>
      <c r="L96" s="7"/>
      <c r="M96" s="15">
        <f t="shared" si="51"/>
        <v>500000</v>
      </c>
      <c r="N96" s="7">
        <f>500000+22500000-2000000</f>
        <v>21000000</v>
      </c>
      <c r="O96" s="7">
        <f t="shared" si="52"/>
        <v>2000000</v>
      </c>
      <c r="P96" s="7"/>
      <c r="Q96" s="7"/>
      <c r="R96" s="7">
        <v>500000</v>
      </c>
      <c r="S96" s="7">
        <f t="shared" si="54"/>
        <v>500000</v>
      </c>
      <c r="T96" s="7"/>
      <c r="U96" s="7">
        <f t="shared" si="56"/>
        <v>21000000</v>
      </c>
      <c r="V96" s="7">
        <f t="shared" si="57"/>
        <v>9100000</v>
      </c>
      <c r="W96" s="7"/>
      <c r="X96" s="7"/>
      <c r="Y96" s="7">
        <v>11900000</v>
      </c>
      <c r="Z96" s="71"/>
      <c r="AA96" s="8"/>
      <c r="AB96" s="8">
        <v>810000</v>
      </c>
      <c r="AC96" s="8"/>
      <c r="AD96" s="8"/>
    </row>
    <row r="97" spans="1:30" s="8" customFormat="1" x14ac:dyDescent="0.25">
      <c r="A97" s="6">
        <f t="shared" si="58"/>
        <v>78</v>
      </c>
      <c r="B97" s="14">
        <v>1826</v>
      </c>
      <c r="C97" s="6" t="s">
        <v>400</v>
      </c>
      <c r="D97" s="7">
        <v>1500000</v>
      </c>
      <c r="E97" s="7"/>
      <c r="F97" s="7">
        <f t="shared" si="48"/>
        <v>1500000</v>
      </c>
      <c r="G97" s="7"/>
      <c r="H97" s="7"/>
      <c r="I97" s="7"/>
      <c r="J97" s="7"/>
      <c r="K97" s="7"/>
      <c r="L97" s="7"/>
      <c r="M97" s="15">
        <f t="shared" si="51"/>
        <v>200000</v>
      </c>
      <c r="N97" s="7"/>
      <c r="O97" s="7">
        <f t="shared" si="52"/>
        <v>1300000</v>
      </c>
      <c r="P97" s="7"/>
      <c r="Q97" s="7"/>
      <c r="R97" s="7">
        <v>200000</v>
      </c>
      <c r="S97" s="7">
        <f t="shared" si="54"/>
        <v>200000</v>
      </c>
      <c r="T97" s="7"/>
      <c r="U97" s="7">
        <f t="shared" si="56"/>
        <v>0</v>
      </c>
      <c r="V97" s="7">
        <f t="shared" si="57"/>
        <v>0</v>
      </c>
      <c r="W97" s="7"/>
      <c r="X97" s="7"/>
      <c r="Y97" s="6"/>
      <c r="Z97" s="71"/>
      <c r="AB97" s="8">
        <v>742000</v>
      </c>
    </row>
    <row r="98" spans="1:30" s="8" customFormat="1" x14ac:dyDescent="0.25">
      <c r="A98" s="6">
        <f t="shared" si="58"/>
        <v>79</v>
      </c>
      <c r="B98" s="14">
        <v>1827</v>
      </c>
      <c r="C98" s="6" t="s">
        <v>402</v>
      </c>
      <c r="D98" s="7">
        <v>66250000</v>
      </c>
      <c r="E98" s="7"/>
      <c r="F98" s="7">
        <f t="shared" si="48"/>
        <v>66250000</v>
      </c>
      <c r="G98" s="7"/>
      <c r="H98" s="7"/>
      <c r="I98" s="7"/>
      <c r="J98" s="7"/>
      <c r="K98" s="7"/>
      <c r="L98" s="7"/>
      <c r="M98" s="15">
        <f t="shared" si="51"/>
        <v>4000000</v>
      </c>
      <c r="N98" s="7">
        <v>14000000</v>
      </c>
      <c r="O98" s="7">
        <f t="shared" si="52"/>
        <v>48250000</v>
      </c>
      <c r="P98" s="7"/>
      <c r="Q98" s="7"/>
      <c r="R98" s="7">
        <v>4000000</v>
      </c>
      <c r="S98" s="7">
        <f t="shared" si="54"/>
        <v>4000000</v>
      </c>
      <c r="T98" s="7"/>
      <c r="U98" s="7">
        <f t="shared" si="56"/>
        <v>14000000</v>
      </c>
      <c r="V98" s="7">
        <f t="shared" si="57"/>
        <v>0</v>
      </c>
      <c r="W98" s="7"/>
      <c r="X98" s="7"/>
      <c r="Y98" s="7">
        <v>14000000</v>
      </c>
      <c r="Z98" s="71"/>
      <c r="AB98" s="8">
        <v>746000</v>
      </c>
    </row>
    <row r="99" spans="1:30" s="8" customFormat="1" x14ac:dyDescent="0.25">
      <c r="A99" s="6">
        <f t="shared" si="58"/>
        <v>80</v>
      </c>
      <c r="B99" s="14">
        <v>1833</v>
      </c>
      <c r="C99" s="6" t="s">
        <v>397</v>
      </c>
      <c r="D99" s="7">
        <v>20000000</v>
      </c>
      <c r="E99" s="7"/>
      <c r="F99" s="7">
        <f t="shared" si="48"/>
        <v>20000000</v>
      </c>
      <c r="G99" s="7"/>
      <c r="H99" s="7"/>
      <c r="I99" s="7"/>
      <c r="J99" s="7"/>
      <c r="K99" s="7"/>
      <c r="L99" s="7"/>
      <c r="M99" s="15">
        <f t="shared" si="51"/>
        <v>0</v>
      </c>
      <c r="N99" s="7">
        <v>20000000</v>
      </c>
      <c r="O99" s="7">
        <f t="shared" si="52"/>
        <v>0</v>
      </c>
      <c r="P99" s="7"/>
      <c r="Q99" s="7"/>
      <c r="R99" s="7"/>
      <c r="S99" s="7">
        <f t="shared" si="54"/>
        <v>0</v>
      </c>
      <c r="T99" s="7"/>
      <c r="U99" s="7">
        <f t="shared" si="56"/>
        <v>20000000</v>
      </c>
      <c r="V99" s="7">
        <f t="shared" si="57"/>
        <v>20000000</v>
      </c>
      <c r="W99" s="7"/>
      <c r="X99" s="7"/>
      <c r="Y99" s="6"/>
      <c r="Z99" s="71"/>
      <c r="AB99" s="8">
        <v>829000</v>
      </c>
    </row>
    <row r="100" spans="1:30" s="9" customFormat="1" x14ac:dyDescent="0.25">
      <c r="A100" s="6">
        <f t="shared" si="58"/>
        <v>81</v>
      </c>
      <c r="B100" s="14">
        <v>1834</v>
      </c>
      <c r="C100" s="6" t="s">
        <v>401</v>
      </c>
      <c r="D100" s="7">
        <v>40000000</v>
      </c>
      <c r="E100" s="7"/>
      <c r="F100" s="7">
        <f t="shared" si="48"/>
        <v>40000000</v>
      </c>
      <c r="G100" s="7"/>
      <c r="H100" s="7"/>
      <c r="I100" s="7"/>
      <c r="J100" s="7"/>
      <c r="K100" s="7"/>
      <c r="L100" s="7"/>
      <c r="M100" s="15">
        <f t="shared" si="51"/>
        <v>0</v>
      </c>
      <c r="N100" s="7">
        <f>43000000-38000000-2000000</f>
        <v>3000000</v>
      </c>
      <c r="O100" s="7">
        <f t="shared" si="52"/>
        <v>37000000</v>
      </c>
      <c r="P100" s="7"/>
      <c r="Q100" s="7"/>
      <c r="R100" s="7"/>
      <c r="S100" s="7">
        <f t="shared" si="54"/>
        <v>0</v>
      </c>
      <c r="T100" s="7"/>
      <c r="U100" s="7">
        <f t="shared" si="56"/>
        <v>3000000</v>
      </c>
      <c r="V100" s="7">
        <f t="shared" si="57"/>
        <v>3000000</v>
      </c>
      <c r="W100" s="7"/>
      <c r="X100" s="7"/>
      <c r="Y100" s="6"/>
      <c r="Z100" s="71"/>
      <c r="AA100" s="8"/>
      <c r="AB100" s="8">
        <v>824000</v>
      </c>
      <c r="AC100" s="8"/>
      <c r="AD100" s="8"/>
    </row>
    <row r="101" spans="1:30" s="9" customFormat="1" x14ac:dyDescent="0.25">
      <c r="A101" s="6">
        <f t="shared" si="58"/>
        <v>82</v>
      </c>
      <c r="B101" s="14">
        <v>1835</v>
      </c>
      <c r="C101" s="6" t="s">
        <v>638</v>
      </c>
      <c r="D101" s="7">
        <v>30000000</v>
      </c>
      <c r="E101" s="7"/>
      <c r="F101" s="7">
        <f t="shared" si="48"/>
        <v>30000000</v>
      </c>
      <c r="G101" s="7"/>
      <c r="H101" s="7"/>
      <c r="I101" s="7"/>
      <c r="J101" s="7"/>
      <c r="K101" s="7"/>
      <c r="L101" s="7"/>
      <c r="M101" s="15">
        <f t="shared" si="51"/>
        <v>0</v>
      </c>
      <c r="N101" s="7">
        <f>20000000-8000000</f>
        <v>12000000</v>
      </c>
      <c r="O101" s="7">
        <f t="shared" si="52"/>
        <v>18000000</v>
      </c>
      <c r="P101" s="7"/>
      <c r="Q101" s="7"/>
      <c r="R101" s="7"/>
      <c r="S101" s="7">
        <f t="shared" si="54"/>
        <v>0</v>
      </c>
      <c r="T101" s="7"/>
      <c r="U101" s="7">
        <f t="shared" si="56"/>
        <v>12000000</v>
      </c>
      <c r="V101" s="7">
        <f t="shared" si="57"/>
        <v>12000000</v>
      </c>
      <c r="W101" s="7"/>
      <c r="X101" s="7"/>
      <c r="Y101" s="6"/>
      <c r="Z101" s="71"/>
      <c r="AA101" s="8"/>
      <c r="AB101" s="8">
        <v>824000</v>
      </c>
      <c r="AC101" s="8"/>
      <c r="AD101" s="8"/>
    </row>
    <row r="102" spans="1:30" s="8" customFormat="1" x14ac:dyDescent="0.25">
      <c r="A102" s="6">
        <f t="shared" si="58"/>
        <v>83</v>
      </c>
      <c r="B102" s="14">
        <v>1836</v>
      </c>
      <c r="C102" s="104" t="s">
        <v>405</v>
      </c>
      <c r="D102" s="106">
        <v>500000</v>
      </c>
      <c r="E102" s="106"/>
      <c r="F102" s="106">
        <f t="shared" si="48"/>
        <v>500000</v>
      </c>
      <c r="G102" s="106"/>
      <c r="H102" s="106"/>
      <c r="I102" s="106"/>
      <c r="J102" s="106"/>
      <c r="K102" s="106"/>
      <c r="L102" s="106"/>
      <c r="M102" s="98"/>
      <c r="N102" s="106">
        <v>500000</v>
      </c>
      <c r="O102" s="106">
        <f t="shared" si="52"/>
        <v>0</v>
      </c>
      <c r="P102" s="106"/>
      <c r="Q102" s="106"/>
      <c r="R102" s="106"/>
      <c r="S102" s="106"/>
      <c r="T102" s="106"/>
      <c r="U102" s="106">
        <f t="shared" si="56"/>
        <v>500000</v>
      </c>
      <c r="V102" s="106">
        <f t="shared" si="57"/>
        <v>500000</v>
      </c>
      <c r="W102" s="106"/>
      <c r="X102" s="106"/>
      <c r="Y102" s="104"/>
      <c r="Z102" s="107"/>
      <c r="AB102" s="8">
        <v>930000</v>
      </c>
    </row>
    <row r="103" spans="1:30" s="109" customFormat="1" x14ac:dyDescent="0.25">
      <c r="A103" s="3"/>
      <c r="B103" s="22"/>
      <c r="C103" s="3" t="s">
        <v>390</v>
      </c>
      <c r="D103" s="89">
        <f>SUM(D81:D102)</f>
        <v>349125000</v>
      </c>
      <c r="E103" s="89">
        <f t="shared" ref="E103:Y103" si="59">SUM(E81:E102)</f>
        <v>134175000</v>
      </c>
      <c r="F103" s="89">
        <f t="shared" si="59"/>
        <v>214950000</v>
      </c>
      <c r="G103" s="89">
        <f t="shared" si="59"/>
        <v>51295000</v>
      </c>
      <c r="H103" s="89">
        <f t="shared" si="59"/>
        <v>43201947.900000006</v>
      </c>
      <c r="I103" s="89">
        <f t="shared" si="59"/>
        <v>835327.42</v>
      </c>
      <c r="J103" s="89">
        <f t="shared" si="59"/>
        <v>2069237.97</v>
      </c>
      <c r="K103" s="89">
        <f t="shared" si="59"/>
        <v>2904565.39</v>
      </c>
      <c r="L103" s="89">
        <f t="shared" si="59"/>
        <v>46106513.289999999</v>
      </c>
      <c r="M103" s="94">
        <f t="shared" si="59"/>
        <v>14138486.709999999</v>
      </c>
      <c r="N103" s="89">
        <f t="shared" si="59"/>
        <v>90300000</v>
      </c>
      <c r="O103" s="89">
        <f t="shared" si="59"/>
        <v>198580000</v>
      </c>
      <c r="P103" s="89">
        <f t="shared" si="59"/>
        <v>5188486.709999999</v>
      </c>
      <c r="Q103" s="89">
        <f t="shared" si="59"/>
        <v>3000000</v>
      </c>
      <c r="R103" s="89">
        <f t="shared" si="59"/>
        <v>5950000</v>
      </c>
      <c r="S103" s="89">
        <f t="shared" si="59"/>
        <v>8950000</v>
      </c>
      <c r="T103" s="89">
        <f t="shared" si="59"/>
        <v>0</v>
      </c>
      <c r="U103" s="89">
        <f t="shared" si="59"/>
        <v>90300000</v>
      </c>
      <c r="V103" s="89">
        <f t="shared" si="59"/>
        <v>56900000</v>
      </c>
      <c r="W103" s="89">
        <f t="shared" si="59"/>
        <v>0</v>
      </c>
      <c r="X103" s="89">
        <f t="shared" si="59"/>
        <v>0</v>
      </c>
      <c r="Y103" s="89">
        <f t="shared" si="59"/>
        <v>33400000</v>
      </c>
      <c r="Z103" s="217">
        <f t="shared" ref="Z103:AA103" si="60">SUM(Z81:Z102)</f>
        <v>0</v>
      </c>
      <c r="AA103" s="110">
        <f t="shared" si="60"/>
        <v>0</v>
      </c>
    </row>
    <row r="104" spans="1:30" s="109" customFormat="1" x14ac:dyDescent="0.25">
      <c r="A104" s="3"/>
      <c r="B104" s="22"/>
      <c r="C104" s="3"/>
      <c r="D104" s="89"/>
      <c r="E104" s="89"/>
      <c r="F104" s="89"/>
      <c r="G104" s="89"/>
      <c r="H104" s="89"/>
      <c r="I104" s="89"/>
      <c r="J104" s="89"/>
      <c r="K104" s="89"/>
      <c r="L104" s="89"/>
      <c r="M104" s="94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108"/>
      <c r="AA104" s="110"/>
    </row>
    <row r="105" spans="1:30" s="8" customFormat="1" x14ac:dyDescent="0.25">
      <c r="A105" s="6"/>
      <c r="B105" s="14"/>
      <c r="C105" s="3" t="s">
        <v>391</v>
      </c>
      <c r="D105" s="7"/>
      <c r="E105" s="7"/>
      <c r="F105" s="7"/>
      <c r="G105" s="7"/>
      <c r="H105" s="7"/>
      <c r="I105" s="7"/>
      <c r="J105" s="7"/>
      <c r="K105" s="7"/>
      <c r="L105" s="7"/>
      <c r="M105" s="15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6"/>
      <c r="Z105" s="71"/>
    </row>
    <row r="106" spans="1:30" s="8" customFormat="1" x14ac:dyDescent="0.25">
      <c r="A106" s="6">
        <f>A102+1</f>
        <v>84</v>
      </c>
      <c r="B106" s="14">
        <v>1321</v>
      </c>
      <c r="C106" s="6" t="s">
        <v>110</v>
      </c>
      <c r="D106" s="7">
        <v>5150000</v>
      </c>
      <c r="E106" s="7">
        <v>5150000</v>
      </c>
      <c r="F106" s="7">
        <f t="shared" ref="F106:F126" si="61">D106-E106</f>
        <v>0</v>
      </c>
      <c r="G106" s="7">
        <v>700000</v>
      </c>
      <c r="H106" s="234">
        <v>691661</v>
      </c>
      <c r="I106" s="7">
        <v>7556.01</v>
      </c>
      <c r="J106" s="7"/>
      <c r="K106" s="7">
        <f t="shared" ref="K106:K125" si="62">SUM(I106:J106)</f>
        <v>7556.01</v>
      </c>
      <c r="L106" s="7">
        <f t="shared" ref="L106:L125" si="63">H106+K106</f>
        <v>699217.01</v>
      </c>
      <c r="M106" s="15">
        <f t="shared" ref="M106:M126" si="64">P106+S106</f>
        <v>782.98999999999069</v>
      </c>
      <c r="N106" s="7"/>
      <c r="O106" s="7">
        <f t="shared" ref="O106:O126" si="65">D106-L106-M106-N106</f>
        <v>4450000</v>
      </c>
      <c r="P106" s="7">
        <f t="shared" ref="P106:P125" si="66">G106-L106</f>
        <v>782.98999999999069</v>
      </c>
      <c r="Q106" s="7"/>
      <c r="R106" s="7"/>
      <c r="S106" s="7">
        <f t="shared" ref="S106:S126" si="67">SUM(Q106:R106)</f>
        <v>0</v>
      </c>
      <c r="T106" s="7">
        <f t="shared" ref="T106:T125" si="68">P106-M106+S106</f>
        <v>0</v>
      </c>
      <c r="U106" s="7">
        <f t="shared" ref="U106:U126" si="69">N106-T106</f>
        <v>0</v>
      </c>
      <c r="V106" s="7">
        <f t="shared" ref="V106:V126" si="70">U106-Y106-W106-X106</f>
        <v>0</v>
      </c>
      <c r="W106" s="7"/>
      <c r="X106" s="7"/>
      <c r="Y106" s="6"/>
      <c r="Z106" s="71"/>
      <c r="AB106" s="8">
        <v>742000</v>
      </c>
    </row>
    <row r="107" spans="1:30" s="8" customFormat="1" x14ac:dyDescent="0.25">
      <c r="A107" s="6">
        <f>A106+1</f>
        <v>85</v>
      </c>
      <c r="B107" s="14">
        <v>1324</v>
      </c>
      <c r="C107" s="6" t="s">
        <v>82</v>
      </c>
      <c r="D107" s="7">
        <v>250000</v>
      </c>
      <c r="E107" s="7">
        <v>250000</v>
      </c>
      <c r="F107" s="7">
        <f t="shared" si="61"/>
        <v>0</v>
      </c>
      <c r="G107" s="7">
        <v>180000</v>
      </c>
      <c r="H107" s="7">
        <v>120629.48</v>
      </c>
      <c r="I107" s="7">
        <v>40600</v>
      </c>
      <c r="J107" s="7"/>
      <c r="K107" s="7">
        <f t="shared" si="62"/>
        <v>40600</v>
      </c>
      <c r="L107" s="7">
        <f t="shared" si="63"/>
        <v>161229.47999999998</v>
      </c>
      <c r="M107" s="15">
        <f t="shared" si="64"/>
        <v>18770.520000000019</v>
      </c>
      <c r="N107" s="7"/>
      <c r="O107" s="7">
        <f t="shared" si="65"/>
        <v>70000</v>
      </c>
      <c r="P107" s="7">
        <f t="shared" si="66"/>
        <v>18770.520000000019</v>
      </c>
      <c r="Q107" s="7"/>
      <c r="R107" s="7"/>
      <c r="S107" s="7">
        <f t="shared" si="67"/>
        <v>0</v>
      </c>
      <c r="T107" s="7">
        <f t="shared" si="68"/>
        <v>0</v>
      </c>
      <c r="U107" s="7">
        <f t="shared" si="69"/>
        <v>0</v>
      </c>
      <c r="V107" s="7">
        <f t="shared" si="70"/>
        <v>0</v>
      </c>
      <c r="W107" s="7"/>
      <c r="X107" s="7"/>
      <c r="Y107" s="6"/>
      <c r="Z107" s="71"/>
      <c r="AA107" s="9"/>
      <c r="AB107" s="8">
        <v>742000</v>
      </c>
      <c r="AC107" s="9"/>
      <c r="AD107" s="9"/>
    </row>
    <row r="108" spans="1:30" s="9" customFormat="1" x14ac:dyDescent="0.25">
      <c r="A108" s="6">
        <f>A107+1</f>
        <v>86</v>
      </c>
      <c r="B108" s="14">
        <v>1451</v>
      </c>
      <c r="C108" s="6" t="s">
        <v>87</v>
      </c>
      <c r="D108" s="7">
        <f>10200000-10100000</f>
        <v>100000</v>
      </c>
      <c r="E108" s="7">
        <v>10200000</v>
      </c>
      <c r="F108" s="7">
        <f t="shared" si="61"/>
        <v>-10100000</v>
      </c>
      <c r="G108" s="7">
        <v>100000</v>
      </c>
      <c r="H108" s="7">
        <v>14589.04</v>
      </c>
      <c r="I108" s="7">
        <v>25236.959999999999</v>
      </c>
      <c r="J108" s="7">
        <v>59999.839999999997</v>
      </c>
      <c r="K108" s="7">
        <f t="shared" si="62"/>
        <v>85236.799999999988</v>
      </c>
      <c r="L108" s="7">
        <f t="shared" si="63"/>
        <v>99825.84</v>
      </c>
      <c r="M108" s="15">
        <f t="shared" si="64"/>
        <v>174.16000000000349</v>
      </c>
      <c r="N108" s="7"/>
      <c r="O108" s="7">
        <f t="shared" si="65"/>
        <v>0</v>
      </c>
      <c r="P108" s="7">
        <f t="shared" si="66"/>
        <v>174.16000000000349</v>
      </c>
      <c r="Q108" s="7"/>
      <c r="R108" s="7"/>
      <c r="S108" s="7">
        <f t="shared" si="67"/>
        <v>0</v>
      </c>
      <c r="T108" s="7">
        <f t="shared" si="68"/>
        <v>0</v>
      </c>
      <c r="U108" s="7">
        <f t="shared" si="69"/>
        <v>0</v>
      </c>
      <c r="V108" s="7">
        <f t="shared" si="70"/>
        <v>0</v>
      </c>
      <c r="W108" s="7"/>
      <c r="X108" s="7"/>
      <c r="Y108" s="6"/>
      <c r="Z108" s="71"/>
      <c r="AA108" s="8"/>
      <c r="AB108" s="8">
        <v>823000</v>
      </c>
      <c r="AC108" s="8"/>
      <c r="AD108" s="8"/>
    </row>
    <row r="109" spans="1:30" s="8" customFormat="1" x14ac:dyDescent="0.25">
      <c r="A109" s="6">
        <f t="shared" ref="A109:A126" si="71">A108+1</f>
        <v>87</v>
      </c>
      <c r="B109" s="14">
        <v>1453</v>
      </c>
      <c r="C109" s="6" t="s">
        <v>111</v>
      </c>
      <c r="D109" s="7">
        <v>6500000</v>
      </c>
      <c r="E109" s="7">
        <v>6500000</v>
      </c>
      <c r="F109" s="7">
        <f t="shared" si="61"/>
        <v>0</v>
      </c>
      <c r="G109" s="7">
        <v>550000</v>
      </c>
      <c r="H109" s="7">
        <v>327316.59000000003</v>
      </c>
      <c r="I109" s="7">
        <v>126165.93</v>
      </c>
      <c r="J109" s="7">
        <v>47494</v>
      </c>
      <c r="K109" s="7">
        <f t="shared" si="62"/>
        <v>173659.93</v>
      </c>
      <c r="L109" s="7">
        <f t="shared" si="63"/>
        <v>500976.52</v>
      </c>
      <c r="M109" s="15">
        <f t="shared" si="64"/>
        <v>49023.479999999981</v>
      </c>
      <c r="N109" s="7"/>
      <c r="O109" s="7">
        <f t="shared" si="65"/>
        <v>5950000</v>
      </c>
      <c r="P109" s="7">
        <f t="shared" si="66"/>
        <v>49023.479999999981</v>
      </c>
      <c r="Q109" s="7"/>
      <c r="R109" s="7"/>
      <c r="S109" s="7">
        <f t="shared" si="67"/>
        <v>0</v>
      </c>
      <c r="T109" s="7">
        <f t="shared" si="68"/>
        <v>0</v>
      </c>
      <c r="U109" s="7">
        <f t="shared" si="69"/>
        <v>0</v>
      </c>
      <c r="V109" s="7">
        <f t="shared" si="70"/>
        <v>0</v>
      </c>
      <c r="W109" s="7"/>
      <c r="X109" s="7"/>
      <c r="Y109" s="6"/>
      <c r="Z109" s="71"/>
      <c r="AB109" s="8">
        <v>745000</v>
      </c>
    </row>
    <row r="110" spans="1:30" s="8" customFormat="1" x14ac:dyDescent="0.25">
      <c r="A110" s="6">
        <f t="shared" si="71"/>
        <v>88</v>
      </c>
      <c r="B110" s="14">
        <v>1457</v>
      </c>
      <c r="C110" s="6" t="s">
        <v>61</v>
      </c>
      <c r="D110" s="7">
        <v>1100000</v>
      </c>
      <c r="E110" s="7">
        <v>1100000</v>
      </c>
      <c r="F110" s="7">
        <f t="shared" si="61"/>
        <v>0</v>
      </c>
      <c r="G110" s="7">
        <v>580000</v>
      </c>
      <c r="H110" s="7">
        <v>137719.09</v>
      </c>
      <c r="I110" s="7">
        <v>80728.12</v>
      </c>
      <c r="J110" s="7"/>
      <c r="K110" s="7">
        <f t="shared" si="62"/>
        <v>80728.12</v>
      </c>
      <c r="L110" s="7">
        <f t="shared" si="63"/>
        <v>218447.21</v>
      </c>
      <c r="M110" s="15">
        <f>P110+S110-150000</f>
        <v>211552.79000000004</v>
      </c>
      <c r="N110" s="7"/>
      <c r="O110" s="7">
        <f t="shared" si="65"/>
        <v>670000</v>
      </c>
      <c r="P110" s="7">
        <f t="shared" si="66"/>
        <v>361552.79000000004</v>
      </c>
      <c r="Q110" s="7"/>
      <c r="R110" s="7"/>
      <c r="S110" s="7">
        <f t="shared" si="67"/>
        <v>0</v>
      </c>
      <c r="T110" s="7">
        <f t="shared" si="68"/>
        <v>150000</v>
      </c>
      <c r="U110" s="7">
        <f t="shared" si="69"/>
        <v>-150000</v>
      </c>
      <c r="V110" s="7">
        <f t="shared" si="70"/>
        <v>-150000</v>
      </c>
      <c r="W110" s="7"/>
      <c r="X110" s="7"/>
      <c r="Y110" s="7"/>
      <c r="Z110" s="71"/>
      <c r="AB110" s="8">
        <v>742000</v>
      </c>
    </row>
    <row r="111" spans="1:30" s="8" customFormat="1" x14ac:dyDescent="0.25">
      <c r="A111" s="6">
        <f t="shared" si="71"/>
        <v>89</v>
      </c>
      <c r="B111" s="14">
        <v>1462</v>
      </c>
      <c r="C111" s="6" t="s">
        <v>89</v>
      </c>
      <c r="D111" s="7">
        <v>3400000</v>
      </c>
      <c r="E111" s="7">
        <v>3400000</v>
      </c>
      <c r="F111" s="7">
        <f t="shared" si="61"/>
        <v>0</v>
      </c>
      <c r="G111" s="7">
        <v>220000</v>
      </c>
      <c r="H111" s="7">
        <v>93829.7</v>
      </c>
      <c r="I111" s="7">
        <v>103392.8</v>
      </c>
      <c r="J111" s="7"/>
      <c r="K111" s="7">
        <f t="shared" si="62"/>
        <v>103392.8</v>
      </c>
      <c r="L111" s="7">
        <f t="shared" si="63"/>
        <v>197222.5</v>
      </c>
      <c r="M111" s="15">
        <f t="shared" si="64"/>
        <v>22777.5</v>
      </c>
      <c r="N111" s="7">
        <v>3180000</v>
      </c>
      <c r="O111" s="7">
        <f t="shared" si="65"/>
        <v>0</v>
      </c>
      <c r="P111" s="7">
        <f t="shared" si="66"/>
        <v>22777.5</v>
      </c>
      <c r="Q111" s="7"/>
      <c r="R111" s="7"/>
      <c r="S111" s="7">
        <f t="shared" si="67"/>
        <v>0</v>
      </c>
      <c r="T111" s="7">
        <f t="shared" si="68"/>
        <v>0</v>
      </c>
      <c r="U111" s="7">
        <f t="shared" si="69"/>
        <v>3180000</v>
      </c>
      <c r="V111" s="7">
        <f t="shared" si="70"/>
        <v>3180000</v>
      </c>
      <c r="W111" s="7"/>
      <c r="X111" s="7"/>
      <c r="Y111" s="6"/>
      <c r="Z111" s="71"/>
      <c r="AB111" s="8">
        <v>742000</v>
      </c>
    </row>
    <row r="112" spans="1:30" s="8" customFormat="1" x14ac:dyDescent="0.25">
      <c r="A112" s="6">
        <f t="shared" si="71"/>
        <v>90</v>
      </c>
      <c r="B112" s="14">
        <v>1524</v>
      </c>
      <c r="C112" s="6" t="s">
        <v>91</v>
      </c>
      <c r="D112" s="7">
        <v>5300000</v>
      </c>
      <c r="E112" s="7">
        <v>5300000</v>
      </c>
      <c r="F112" s="7">
        <f t="shared" si="61"/>
        <v>0</v>
      </c>
      <c r="G112" s="7">
        <v>200000</v>
      </c>
      <c r="H112" s="7">
        <v>80131.350000000006</v>
      </c>
      <c r="I112" s="234">
        <v>2192</v>
      </c>
      <c r="J112" s="7"/>
      <c r="K112" s="7">
        <f t="shared" si="62"/>
        <v>2192</v>
      </c>
      <c r="L112" s="7">
        <f t="shared" si="63"/>
        <v>82323.350000000006</v>
      </c>
      <c r="M112" s="15">
        <f t="shared" si="64"/>
        <v>117676.65</v>
      </c>
      <c r="N112" s="7"/>
      <c r="O112" s="7">
        <f t="shared" si="65"/>
        <v>5100000</v>
      </c>
      <c r="P112" s="7">
        <f t="shared" si="66"/>
        <v>117676.65</v>
      </c>
      <c r="Q112" s="7"/>
      <c r="R112" s="7"/>
      <c r="S112" s="7">
        <f t="shared" si="67"/>
        <v>0</v>
      </c>
      <c r="T112" s="7">
        <f t="shared" si="68"/>
        <v>0</v>
      </c>
      <c r="U112" s="7">
        <f t="shared" si="69"/>
        <v>0</v>
      </c>
      <c r="V112" s="7">
        <f t="shared" si="70"/>
        <v>0</v>
      </c>
      <c r="W112" s="7"/>
      <c r="X112" s="7"/>
      <c r="Y112" s="6"/>
      <c r="Z112" s="71"/>
      <c r="AB112" s="8">
        <v>746000</v>
      </c>
    </row>
    <row r="113" spans="1:30" s="8" customFormat="1" x14ac:dyDescent="0.25">
      <c r="A113" s="6">
        <f t="shared" si="71"/>
        <v>91</v>
      </c>
      <c r="B113" s="14">
        <v>1539</v>
      </c>
      <c r="C113" s="6" t="s">
        <v>63</v>
      </c>
      <c r="D113" s="7">
        <v>29050000</v>
      </c>
      <c r="E113" s="7">
        <v>29050000</v>
      </c>
      <c r="F113" s="7">
        <f t="shared" si="61"/>
        <v>0</v>
      </c>
      <c r="G113" s="7">
        <v>1000000</v>
      </c>
      <c r="H113" s="234">
        <v>403228</v>
      </c>
      <c r="I113" s="7">
        <v>449919.88</v>
      </c>
      <c r="J113" s="7">
        <v>103896.1</v>
      </c>
      <c r="K113" s="7">
        <f t="shared" si="62"/>
        <v>553815.98</v>
      </c>
      <c r="L113" s="7">
        <f t="shared" si="63"/>
        <v>957043.98</v>
      </c>
      <c r="M113" s="15">
        <f t="shared" si="64"/>
        <v>4542956.0199999996</v>
      </c>
      <c r="N113" s="7"/>
      <c r="O113" s="7">
        <f t="shared" si="65"/>
        <v>23550000</v>
      </c>
      <c r="P113" s="7">
        <f t="shared" si="66"/>
        <v>42956.020000000019</v>
      </c>
      <c r="Q113" s="7">
        <v>300000</v>
      </c>
      <c r="R113" s="7">
        <v>4200000</v>
      </c>
      <c r="S113" s="7">
        <f t="shared" si="67"/>
        <v>4500000</v>
      </c>
      <c r="T113" s="7">
        <f t="shared" si="68"/>
        <v>0</v>
      </c>
      <c r="U113" s="7">
        <f t="shared" si="69"/>
        <v>0</v>
      </c>
      <c r="V113" s="7">
        <f t="shared" si="70"/>
        <v>0</v>
      </c>
      <c r="W113" s="7"/>
      <c r="X113" s="7"/>
      <c r="Y113" s="7"/>
      <c r="Z113" s="71"/>
      <c r="AB113" s="8">
        <v>742000</v>
      </c>
    </row>
    <row r="114" spans="1:30" s="8" customFormat="1" x14ac:dyDescent="0.25">
      <c r="A114" s="6">
        <f t="shared" si="71"/>
        <v>92</v>
      </c>
      <c r="B114" s="14">
        <v>1608</v>
      </c>
      <c r="C114" s="6" t="s">
        <v>94</v>
      </c>
      <c r="D114" s="7">
        <v>1500000</v>
      </c>
      <c r="E114" s="7">
        <v>1500000</v>
      </c>
      <c r="F114" s="7">
        <f t="shared" si="61"/>
        <v>0</v>
      </c>
      <c r="G114" s="7">
        <v>150000</v>
      </c>
      <c r="H114" s="7">
        <v>9034</v>
      </c>
      <c r="I114" s="7">
        <v>65349</v>
      </c>
      <c r="J114" s="7"/>
      <c r="K114" s="7">
        <f t="shared" si="62"/>
        <v>65349</v>
      </c>
      <c r="L114" s="7">
        <f t="shared" si="63"/>
        <v>74383</v>
      </c>
      <c r="M114" s="15">
        <f t="shared" si="64"/>
        <v>75617</v>
      </c>
      <c r="N114" s="7"/>
      <c r="O114" s="7">
        <f t="shared" si="65"/>
        <v>1350000</v>
      </c>
      <c r="P114" s="7">
        <f t="shared" si="66"/>
        <v>75617</v>
      </c>
      <c r="Q114" s="7"/>
      <c r="R114" s="7"/>
      <c r="S114" s="7">
        <f t="shared" si="67"/>
        <v>0</v>
      </c>
      <c r="T114" s="7">
        <f t="shared" si="68"/>
        <v>0</v>
      </c>
      <c r="U114" s="7">
        <f t="shared" si="69"/>
        <v>0</v>
      </c>
      <c r="V114" s="7">
        <f t="shared" si="70"/>
        <v>0</v>
      </c>
      <c r="W114" s="7"/>
      <c r="X114" s="7"/>
      <c r="Y114" s="6"/>
      <c r="Z114" s="71"/>
      <c r="AB114" s="8">
        <v>742000</v>
      </c>
    </row>
    <row r="115" spans="1:30" s="8" customFormat="1" x14ac:dyDescent="0.25">
      <c r="A115" s="6">
        <f t="shared" si="71"/>
        <v>93</v>
      </c>
      <c r="B115" s="14">
        <v>1613</v>
      </c>
      <c r="C115" s="6" t="s">
        <v>95</v>
      </c>
      <c r="D115" s="7">
        <v>6500000</v>
      </c>
      <c r="E115" s="7">
        <v>6500000</v>
      </c>
      <c r="F115" s="7">
        <f t="shared" si="61"/>
        <v>0</v>
      </c>
      <c r="G115" s="7">
        <v>300000</v>
      </c>
      <c r="H115" s="7">
        <v>31928.25</v>
      </c>
      <c r="I115" s="7">
        <v>19120.72</v>
      </c>
      <c r="J115" s="7"/>
      <c r="K115" s="7">
        <f t="shared" si="62"/>
        <v>19120.72</v>
      </c>
      <c r="L115" s="7">
        <f t="shared" si="63"/>
        <v>51048.97</v>
      </c>
      <c r="M115" s="15">
        <f>P115+S115-200000</f>
        <v>48951.03</v>
      </c>
      <c r="N115" s="7"/>
      <c r="O115" s="7">
        <f t="shared" si="65"/>
        <v>6400000</v>
      </c>
      <c r="P115" s="7">
        <f t="shared" si="66"/>
        <v>248951.03</v>
      </c>
      <c r="Q115" s="7"/>
      <c r="R115" s="7"/>
      <c r="S115" s="7">
        <f t="shared" si="67"/>
        <v>0</v>
      </c>
      <c r="T115" s="7">
        <f t="shared" si="68"/>
        <v>200000</v>
      </c>
      <c r="U115" s="7">
        <f t="shared" si="69"/>
        <v>-200000</v>
      </c>
      <c r="V115" s="7">
        <f t="shared" si="70"/>
        <v>-200000</v>
      </c>
      <c r="W115" s="7"/>
      <c r="X115" s="7"/>
      <c r="Y115" s="6"/>
      <c r="Z115" s="71"/>
      <c r="AA115" s="9"/>
      <c r="AB115" s="8">
        <v>747000</v>
      </c>
      <c r="AC115" s="9"/>
      <c r="AD115" s="9"/>
    </row>
    <row r="116" spans="1:30" s="9" customFormat="1" x14ac:dyDescent="0.25">
      <c r="A116" s="6">
        <f t="shared" si="71"/>
        <v>94</v>
      </c>
      <c r="B116" s="14">
        <v>1614</v>
      </c>
      <c r="C116" s="6" t="s">
        <v>66</v>
      </c>
      <c r="D116" s="7">
        <f>7000000-6800000</f>
        <v>200000</v>
      </c>
      <c r="E116" s="7">
        <v>200000</v>
      </c>
      <c r="F116" s="7">
        <f t="shared" si="61"/>
        <v>0</v>
      </c>
      <c r="G116" s="7">
        <v>200000</v>
      </c>
      <c r="H116" s="7">
        <v>0</v>
      </c>
      <c r="I116" s="234">
        <v>59259</v>
      </c>
      <c r="J116" s="7"/>
      <c r="K116" s="7">
        <f t="shared" si="62"/>
        <v>59259</v>
      </c>
      <c r="L116" s="7">
        <f t="shared" si="63"/>
        <v>59259</v>
      </c>
      <c r="M116" s="15">
        <f t="shared" si="64"/>
        <v>140741</v>
      </c>
      <c r="N116" s="7"/>
      <c r="O116" s="7">
        <f t="shared" si="65"/>
        <v>0</v>
      </c>
      <c r="P116" s="7">
        <f t="shared" si="66"/>
        <v>140741</v>
      </c>
      <c r="Q116" s="7"/>
      <c r="R116" s="7"/>
      <c r="S116" s="7">
        <f t="shared" si="67"/>
        <v>0</v>
      </c>
      <c r="T116" s="7">
        <f t="shared" si="68"/>
        <v>0</v>
      </c>
      <c r="U116" s="7">
        <f t="shared" si="69"/>
        <v>0</v>
      </c>
      <c r="V116" s="7">
        <f t="shared" si="70"/>
        <v>0</v>
      </c>
      <c r="W116" s="7"/>
      <c r="X116" s="7"/>
      <c r="Y116" s="7"/>
      <c r="Z116" s="71"/>
      <c r="AA116" s="8"/>
      <c r="AB116" s="8">
        <v>742000</v>
      </c>
      <c r="AC116" s="8"/>
      <c r="AD116" s="8"/>
    </row>
    <row r="117" spans="1:30" s="8" customFormat="1" x14ac:dyDescent="0.25">
      <c r="A117" s="6">
        <f t="shared" si="71"/>
        <v>95</v>
      </c>
      <c r="B117" s="14">
        <v>1672</v>
      </c>
      <c r="C117" s="6" t="s">
        <v>32</v>
      </c>
      <c r="D117" s="7">
        <v>500000</v>
      </c>
      <c r="E117" s="7">
        <v>500000</v>
      </c>
      <c r="F117" s="7">
        <f t="shared" si="61"/>
        <v>0</v>
      </c>
      <c r="G117" s="7">
        <v>500000</v>
      </c>
      <c r="H117" s="7">
        <v>31117</v>
      </c>
      <c r="I117" s="7">
        <v>188723.3</v>
      </c>
      <c r="J117" s="7"/>
      <c r="K117" s="7">
        <f t="shared" si="62"/>
        <v>188723.3</v>
      </c>
      <c r="L117" s="7">
        <f t="shared" si="63"/>
        <v>219840.3</v>
      </c>
      <c r="M117" s="15">
        <f t="shared" si="64"/>
        <v>280159.7</v>
      </c>
      <c r="N117" s="7"/>
      <c r="O117" s="7">
        <f t="shared" si="65"/>
        <v>0</v>
      </c>
      <c r="P117" s="7">
        <f t="shared" si="66"/>
        <v>280159.7</v>
      </c>
      <c r="Q117" s="7"/>
      <c r="R117" s="7"/>
      <c r="S117" s="7">
        <f t="shared" si="67"/>
        <v>0</v>
      </c>
      <c r="T117" s="7">
        <f t="shared" si="68"/>
        <v>0</v>
      </c>
      <c r="U117" s="7">
        <f t="shared" si="69"/>
        <v>0</v>
      </c>
      <c r="V117" s="7">
        <f t="shared" si="70"/>
        <v>0</v>
      </c>
      <c r="W117" s="7"/>
      <c r="X117" s="7"/>
      <c r="Y117" s="7"/>
      <c r="Z117" s="71"/>
      <c r="AB117" s="8">
        <v>732000</v>
      </c>
    </row>
    <row r="118" spans="1:30" s="8" customFormat="1" x14ac:dyDescent="0.25">
      <c r="A118" s="6">
        <f t="shared" si="71"/>
        <v>96</v>
      </c>
      <c r="B118" s="14">
        <v>1744</v>
      </c>
      <c r="C118" s="6" t="s">
        <v>588</v>
      </c>
      <c r="D118" s="7">
        <v>13000000</v>
      </c>
      <c r="E118" s="7">
        <v>13000000</v>
      </c>
      <c r="F118" s="7">
        <f t="shared" si="61"/>
        <v>0</v>
      </c>
      <c r="G118" s="7">
        <v>0</v>
      </c>
      <c r="H118" s="7">
        <v>0</v>
      </c>
      <c r="I118" s="7"/>
      <c r="J118" s="7"/>
      <c r="K118" s="7">
        <f t="shared" si="62"/>
        <v>0</v>
      </c>
      <c r="L118" s="7">
        <f t="shared" si="63"/>
        <v>0</v>
      </c>
      <c r="M118" s="15">
        <f t="shared" si="64"/>
        <v>1000000</v>
      </c>
      <c r="N118" s="7"/>
      <c r="O118" s="7">
        <f t="shared" si="65"/>
        <v>12000000</v>
      </c>
      <c r="P118" s="7">
        <f t="shared" si="66"/>
        <v>0</v>
      </c>
      <c r="Q118" s="7">
        <v>1000000</v>
      </c>
      <c r="R118" s="7"/>
      <c r="S118" s="7">
        <f t="shared" si="67"/>
        <v>1000000</v>
      </c>
      <c r="T118" s="7">
        <f t="shared" si="68"/>
        <v>0</v>
      </c>
      <c r="U118" s="7">
        <f t="shared" si="69"/>
        <v>0</v>
      </c>
      <c r="V118" s="7">
        <f t="shared" si="70"/>
        <v>0</v>
      </c>
      <c r="W118" s="7"/>
      <c r="X118" s="7"/>
      <c r="Y118" s="6"/>
      <c r="Z118" s="71"/>
      <c r="AB118" s="8">
        <v>742000</v>
      </c>
    </row>
    <row r="119" spans="1:30" s="8" customFormat="1" ht="15.75" customHeight="1" x14ac:dyDescent="0.25">
      <c r="A119" s="6">
        <f t="shared" si="71"/>
        <v>97</v>
      </c>
      <c r="B119" s="14">
        <v>1746</v>
      </c>
      <c r="C119" s="10" t="s">
        <v>48</v>
      </c>
      <c r="D119" s="7">
        <v>8000000</v>
      </c>
      <c r="E119" s="7">
        <v>8000000</v>
      </c>
      <c r="F119" s="7">
        <f t="shared" si="61"/>
        <v>0</v>
      </c>
      <c r="G119" s="7">
        <v>0</v>
      </c>
      <c r="H119" s="7">
        <v>0</v>
      </c>
      <c r="I119" s="7"/>
      <c r="J119" s="7"/>
      <c r="K119" s="7">
        <f t="shared" si="62"/>
        <v>0</v>
      </c>
      <c r="L119" s="7">
        <f t="shared" si="63"/>
        <v>0</v>
      </c>
      <c r="M119" s="15">
        <f t="shared" si="64"/>
        <v>0</v>
      </c>
      <c r="N119" s="7"/>
      <c r="O119" s="7">
        <f t="shared" si="65"/>
        <v>8000000</v>
      </c>
      <c r="P119" s="7">
        <f t="shared" si="66"/>
        <v>0</v>
      </c>
      <c r="Q119" s="7"/>
      <c r="R119" s="7"/>
      <c r="S119" s="7">
        <f t="shared" si="67"/>
        <v>0</v>
      </c>
      <c r="T119" s="7">
        <f t="shared" si="68"/>
        <v>0</v>
      </c>
      <c r="U119" s="7">
        <f t="shared" si="69"/>
        <v>0</v>
      </c>
      <c r="V119" s="7">
        <f t="shared" si="70"/>
        <v>0</v>
      </c>
      <c r="W119" s="7"/>
      <c r="X119" s="7"/>
      <c r="Y119" s="7"/>
      <c r="Z119" s="71"/>
      <c r="AB119" s="8">
        <v>742000</v>
      </c>
    </row>
    <row r="120" spans="1:30" s="8" customFormat="1" ht="15" customHeight="1" x14ac:dyDescent="0.25">
      <c r="A120" s="6">
        <f t="shared" si="71"/>
        <v>98</v>
      </c>
      <c r="B120" s="14">
        <v>1748</v>
      </c>
      <c r="C120" s="6" t="s">
        <v>589</v>
      </c>
      <c r="D120" s="7">
        <v>1000000</v>
      </c>
      <c r="E120" s="7">
        <v>1000000</v>
      </c>
      <c r="F120" s="7">
        <f t="shared" si="61"/>
        <v>0</v>
      </c>
      <c r="G120" s="7">
        <v>100000</v>
      </c>
      <c r="H120" s="7">
        <v>0</v>
      </c>
      <c r="I120" s="7">
        <v>59000</v>
      </c>
      <c r="J120" s="7"/>
      <c r="K120" s="7">
        <f t="shared" si="62"/>
        <v>59000</v>
      </c>
      <c r="L120" s="7">
        <f t="shared" si="63"/>
        <v>59000</v>
      </c>
      <c r="M120" s="15">
        <f t="shared" si="64"/>
        <v>241000</v>
      </c>
      <c r="N120" s="7"/>
      <c r="O120" s="7">
        <f t="shared" si="65"/>
        <v>700000</v>
      </c>
      <c r="P120" s="7">
        <f t="shared" si="66"/>
        <v>41000</v>
      </c>
      <c r="Q120" s="7">
        <v>200000</v>
      </c>
      <c r="R120" s="7"/>
      <c r="S120" s="7">
        <f t="shared" si="67"/>
        <v>200000</v>
      </c>
      <c r="T120" s="7">
        <f t="shared" si="68"/>
        <v>0</v>
      </c>
      <c r="U120" s="7">
        <f t="shared" si="69"/>
        <v>0</v>
      </c>
      <c r="V120" s="7">
        <f t="shared" si="70"/>
        <v>0</v>
      </c>
      <c r="W120" s="7"/>
      <c r="X120" s="7"/>
      <c r="Y120" s="6"/>
      <c r="Z120" s="71"/>
      <c r="AB120" s="8">
        <v>732000</v>
      </c>
    </row>
    <row r="121" spans="1:30" s="8" customFormat="1" ht="15" customHeight="1" x14ac:dyDescent="0.25">
      <c r="A121" s="6">
        <f t="shared" si="71"/>
        <v>99</v>
      </c>
      <c r="B121" s="14">
        <v>1752</v>
      </c>
      <c r="C121" s="14" t="s">
        <v>73</v>
      </c>
      <c r="D121" s="7">
        <v>58000000</v>
      </c>
      <c r="E121" s="7">
        <v>58000000</v>
      </c>
      <c r="F121" s="7">
        <f t="shared" si="61"/>
        <v>0</v>
      </c>
      <c r="G121" s="7">
        <v>100000</v>
      </c>
      <c r="H121" s="7">
        <v>12390</v>
      </c>
      <c r="I121" s="7"/>
      <c r="J121" s="7"/>
      <c r="K121" s="7">
        <f t="shared" si="62"/>
        <v>0</v>
      </c>
      <c r="L121" s="7">
        <f t="shared" si="63"/>
        <v>12390</v>
      </c>
      <c r="M121" s="15">
        <f t="shared" si="64"/>
        <v>87610</v>
      </c>
      <c r="N121" s="7"/>
      <c r="O121" s="7">
        <f t="shared" si="65"/>
        <v>57900000</v>
      </c>
      <c r="P121" s="7">
        <f t="shared" si="66"/>
        <v>87610</v>
      </c>
      <c r="Q121" s="7"/>
      <c r="R121" s="7"/>
      <c r="S121" s="7">
        <f t="shared" si="67"/>
        <v>0</v>
      </c>
      <c r="T121" s="7">
        <f t="shared" si="68"/>
        <v>0</v>
      </c>
      <c r="U121" s="7">
        <f t="shared" si="69"/>
        <v>0</v>
      </c>
      <c r="V121" s="7">
        <f t="shared" si="70"/>
        <v>0</v>
      </c>
      <c r="W121" s="7"/>
      <c r="X121" s="7"/>
      <c r="Y121" s="6"/>
      <c r="Z121" s="71"/>
      <c r="AB121" s="8">
        <v>810000</v>
      </c>
    </row>
    <row r="122" spans="1:30" s="8" customFormat="1" x14ac:dyDescent="0.25">
      <c r="A122" s="6">
        <f t="shared" si="71"/>
        <v>100</v>
      </c>
      <c r="B122" s="14">
        <v>1753</v>
      </c>
      <c r="C122" s="6" t="s">
        <v>590</v>
      </c>
      <c r="D122" s="7">
        <v>5200000</v>
      </c>
      <c r="E122" s="7">
        <v>5200000</v>
      </c>
      <c r="F122" s="7">
        <f t="shared" si="61"/>
        <v>0</v>
      </c>
      <c r="G122" s="7">
        <v>100000</v>
      </c>
      <c r="H122" s="7">
        <v>0</v>
      </c>
      <c r="I122" s="7"/>
      <c r="J122" s="7"/>
      <c r="K122" s="7">
        <f t="shared" si="62"/>
        <v>0</v>
      </c>
      <c r="L122" s="7">
        <f t="shared" si="63"/>
        <v>0</v>
      </c>
      <c r="M122" s="15">
        <f t="shared" si="64"/>
        <v>500000</v>
      </c>
      <c r="N122" s="7"/>
      <c r="O122" s="7">
        <f t="shared" si="65"/>
        <v>4700000</v>
      </c>
      <c r="P122" s="7">
        <f t="shared" si="66"/>
        <v>100000</v>
      </c>
      <c r="Q122" s="7">
        <v>400000</v>
      </c>
      <c r="R122" s="7"/>
      <c r="S122" s="7">
        <f t="shared" si="67"/>
        <v>400000</v>
      </c>
      <c r="T122" s="7">
        <f t="shared" si="68"/>
        <v>0</v>
      </c>
      <c r="U122" s="7">
        <f t="shared" si="69"/>
        <v>0</v>
      </c>
      <c r="V122" s="7">
        <f t="shared" si="70"/>
        <v>0</v>
      </c>
      <c r="W122" s="7"/>
      <c r="X122" s="7"/>
      <c r="Y122" s="6"/>
      <c r="Z122" s="71"/>
      <c r="AA122" s="9"/>
      <c r="AB122" s="8">
        <v>742000</v>
      </c>
    </row>
    <row r="123" spans="1:30" s="8" customFormat="1" ht="15" customHeight="1" x14ac:dyDescent="0.25">
      <c r="A123" s="6">
        <f t="shared" si="71"/>
        <v>101</v>
      </c>
      <c r="B123" s="14">
        <v>1762</v>
      </c>
      <c r="C123" s="6" t="s">
        <v>591</v>
      </c>
      <c r="D123" s="7">
        <v>500000</v>
      </c>
      <c r="E123" s="7">
        <v>500000</v>
      </c>
      <c r="F123" s="7">
        <f t="shared" si="61"/>
        <v>0</v>
      </c>
      <c r="G123" s="7">
        <v>100000</v>
      </c>
      <c r="H123" s="7">
        <v>0</v>
      </c>
      <c r="I123" s="7"/>
      <c r="J123" s="7"/>
      <c r="K123" s="7">
        <f t="shared" si="62"/>
        <v>0</v>
      </c>
      <c r="L123" s="7">
        <f t="shared" si="63"/>
        <v>0</v>
      </c>
      <c r="M123" s="15">
        <f t="shared" si="64"/>
        <v>100000</v>
      </c>
      <c r="N123" s="7"/>
      <c r="O123" s="7">
        <f t="shared" si="65"/>
        <v>400000</v>
      </c>
      <c r="P123" s="7">
        <f t="shared" si="66"/>
        <v>100000</v>
      </c>
      <c r="Q123" s="7"/>
      <c r="R123" s="7"/>
      <c r="S123" s="7">
        <f t="shared" si="67"/>
        <v>0</v>
      </c>
      <c r="T123" s="7">
        <f t="shared" si="68"/>
        <v>0</v>
      </c>
      <c r="U123" s="7">
        <f t="shared" si="69"/>
        <v>0</v>
      </c>
      <c r="V123" s="7">
        <f t="shared" si="70"/>
        <v>0</v>
      </c>
      <c r="W123" s="7"/>
      <c r="X123" s="7"/>
      <c r="Y123" s="6"/>
      <c r="Z123" s="71"/>
      <c r="AB123" s="8">
        <v>732000</v>
      </c>
    </row>
    <row r="124" spans="1:30" s="8" customFormat="1" x14ac:dyDescent="0.25">
      <c r="A124" s="6">
        <f t="shared" si="71"/>
        <v>102</v>
      </c>
      <c r="B124" s="14">
        <v>1797</v>
      </c>
      <c r="C124" s="6" t="s">
        <v>349</v>
      </c>
      <c r="D124" s="7">
        <v>3000000</v>
      </c>
      <c r="E124" s="7">
        <v>3000000</v>
      </c>
      <c r="F124" s="7">
        <f t="shared" si="61"/>
        <v>0</v>
      </c>
      <c r="G124" s="7">
        <v>0</v>
      </c>
      <c r="H124" s="7">
        <v>0</v>
      </c>
      <c r="I124" s="7"/>
      <c r="J124" s="7"/>
      <c r="K124" s="7">
        <f t="shared" si="62"/>
        <v>0</v>
      </c>
      <c r="L124" s="7">
        <f t="shared" si="63"/>
        <v>0</v>
      </c>
      <c r="M124" s="15">
        <f t="shared" si="64"/>
        <v>1373702</v>
      </c>
      <c r="N124" s="7">
        <v>387560</v>
      </c>
      <c r="O124" s="7">
        <f t="shared" si="65"/>
        <v>1238738</v>
      </c>
      <c r="P124" s="7">
        <f t="shared" si="66"/>
        <v>0</v>
      </c>
      <c r="Q124" s="7"/>
      <c r="R124" s="7">
        <v>1373702</v>
      </c>
      <c r="S124" s="7">
        <f t="shared" si="67"/>
        <v>1373702</v>
      </c>
      <c r="T124" s="7">
        <f t="shared" si="68"/>
        <v>0</v>
      </c>
      <c r="U124" s="7">
        <f t="shared" si="69"/>
        <v>387560</v>
      </c>
      <c r="V124" s="7">
        <f t="shared" si="70"/>
        <v>0</v>
      </c>
      <c r="W124" s="7"/>
      <c r="X124" s="7"/>
      <c r="Y124" s="7">
        <v>387560</v>
      </c>
      <c r="Z124" s="71"/>
      <c r="AB124" s="8">
        <v>820000</v>
      </c>
    </row>
    <row r="125" spans="1:30" s="9" customFormat="1" x14ac:dyDescent="0.25">
      <c r="A125" s="6">
        <f t="shared" si="71"/>
        <v>103</v>
      </c>
      <c r="B125" s="14">
        <v>1805</v>
      </c>
      <c r="C125" s="6" t="s">
        <v>592</v>
      </c>
      <c r="D125" s="7">
        <v>1000000</v>
      </c>
      <c r="E125" s="7">
        <v>1000000</v>
      </c>
      <c r="F125" s="7">
        <f t="shared" si="61"/>
        <v>0</v>
      </c>
      <c r="G125" s="7">
        <v>100000</v>
      </c>
      <c r="H125" s="7">
        <v>0</v>
      </c>
      <c r="I125" s="7"/>
      <c r="J125" s="7"/>
      <c r="K125" s="7">
        <f t="shared" si="62"/>
        <v>0</v>
      </c>
      <c r="L125" s="7">
        <f t="shared" si="63"/>
        <v>0</v>
      </c>
      <c r="M125" s="15">
        <f t="shared" si="64"/>
        <v>100000</v>
      </c>
      <c r="N125" s="7"/>
      <c r="O125" s="7">
        <f t="shared" si="65"/>
        <v>900000</v>
      </c>
      <c r="P125" s="7">
        <f t="shared" si="66"/>
        <v>100000</v>
      </c>
      <c r="Q125" s="7"/>
      <c r="R125" s="7"/>
      <c r="S125" s="7">
        <f t="shared" si="67"/>
        <v>0</v>
      </c>
      <c r="T125" s="7">
        <f t="shared" si="68"/>
        <v>0</v>
      </c>
      <c r="U125" s="7">
        <f t="shared" si="69"/>
        <v>0</v>
      </c>
      <c r="V125" s="7">
        <f t="shared" si="70"/>
        <v>0</v>
      </c>
      <c r="W125" s="7"/>
      <c r="X125" s="7"/>
      <c r="Y125" s="7"/>
      <c r="Z125" s="71"/>
      <c r="AA125" s="8"/>
      <c r="AB125" s="8">
        <v>742000</v>
      </c>
    </row>
    <row r="126" spans="1:30" s="8" customFormat="1" x14ac:dyDescent="0.25">
      <c r="A126" s="6">
        <f t="shared" si="71"/>
        <v>104</v>
      </c>
      <c r="B126" s="14">
        <v>1837</v>
      </c>
      <c r="C126" s="6" t="s">
        <v>396</v>
      </c>
      <c r="D126" s="7">
        <v>3000000</v>
      </c>
      <c r="E126" s="7"/>
      <c r="F126" s="7">
        <f t="shared" si="61"/>
        <v>3000000</v>
      </c>
      <c r="G126" s="7"/>
      <c r="H126" s="7"/>
      <c r="I126" s="7"/>
      <c r="J126" s="7"/>
      <c r="K126" s="7"/>
      <c r="L126" s="7"/>
      <c r="M126" s="15">
        <f t="shared" si="64"/>
        <v>0</v>
      </c>
      <c r="N126" s="7">
        <f>3000000-2700000</f>
        <v>300000</v>
      </c>
      <c r="O126" s="7">
        <f t="shared" si="65"/>
        <v>2700000</v>
      </c>
      <c r="P126" s="7"/>
      <c r="Q126" s="7"/>
      <c r="R126" s="7"/>
      <c r="S126" s="7">
        <f t="shared" si="67"/>
        <v>0</v>
      </c>
      <c r="T126" s="7"/>
      <c r="U126" s="7">
        <f t="shared" si="69"/>
        <v>300000</v>
      </c>
      <c r="V126" s="7">
        <f t="shared" si="70"/>
        <v>300000</v>
      </c>
      <c r="W126" s="7"/>
      <c r="X126" s="7"/>
      <c r="Y126" s="6"/>
      <c r="Z126" s="71"/>
      <c r="AB126" s="8">
        <v>850000</v>
      </c>
    </row>
    <row r="127" spans="1:30" s="9" customFormat="1" x14ac:dyDescent="0.25">
      <c r="A127" s="88"/>
      <c r="B127" s="225"/>
      <c r="C127" s="3" t="s">
        <v>392</v>
      </c>
      <c r="D127" s="108">
        <f>SUM(D106:D126)</f>
        <v>152250000</v>
      </c>
      <c r="E127" s="108">
        <f t="shared" ref="E127:Y127" si="72">SUM(E106:E126)</f>
        <v>159350000</v>
      </c>
      <c r="F127" s="108">
        <f t="shared" si="72"/>
        <v>-7100000</v>
      </c>
      <c r="G127" s="108">
        <f t="shared" si="72"/>
        <v>5180000</v>
      </c>
      <c r="H127" s="108">
        <f t="shared" si="72"/>
        <v>1953573.5000000002</v>
      </c>
      <c r="I127" s="108">
        <f t="shared" si="72"/>
        <v>1227243.72</v>
      </c>
      <c r="J127" s="108">
        <f t="shared" si="72"/>
        <v>211389.94</v>
      </c>
      <c r="K127" s="108">
        <f t="shared" si="72"/>
        <v>1438633.66</v>
      </c>
      <c r="L127" s="108">
        <f t="shared" si="72"/>
        <v>3392207.16</v>
      </c>
      <c r="M127" s="188">
        <f t="shared" si="72"/>
        <v>8911494.8399999999</v>
      </c>
      <c r="N127" s="108">
        <f t="shared" si="72"/>
        <v>3867560</v>
      </c>
      <c r="O127" s="108">
        <f t="shared" si="72"/>
        <v>136078738</v>
      </c>
      <c r="P127" s="108">
        <f t="shared" si="72"/>
        <v>1787792.84</v>
      </c>
      <c r="Q127" s="108">
        <f t="shared" si="72"/>
        <v>1900000</v>
      </c>
      <c r="R127" s="108">
        <f t="shared" si="72"/>
        <v>5573702</v>
      </c>
      <c r="S127" s="108">
        <f t="shared" si="72"/>
        <v>7473702</v>
      </c>
      <c r="T127" s="108">
        <f t="shared" si="72"/>
        <v>350000</v>
      </c>
      <c r="U127" s="108">
        <f t="shared" si="72"/>
        <v>3517560</v>
      </c>
      <c r="V127" s="108">
        <f t="shared" si="72"/>
        <v>3130000</v>
      </c>
      <c r="W127" s="108">
        <f t="shared" si="72"/>
        <v>0</v>
      </c>
      <c r="X127" s="108">
        <f t="shared" si="72"/>
        <v>0</v>
      </c>
      <c r="Y127" s="108">
        <f t="shared" si="72"/>
        <v>387560</v>
      </c>
      <c r="Z127" s="108">
        <f t="shared" ref="Z127" si="73">SUM(Z126)</f>
        <v>0</v>
      </c>
      <c r="AB127" s="8"/>
    </row>
    <row r="128" spans="1:30" s="9" customFormat="1" x14ac:dyDescent="0.25">
      <c r="A128" s="88"/>
      <c r="B128" s="225"/>
      <c r="C128" s="88"/>
      <c r="D128" s="108"/>
      <c r="E128" s="108"/>
      <c r="F128" s="108"/>
      <c r="G128" s="108"/>
      <c r="H128" s="108"/>
      <c r="I128" s="108"/>
      <c r="J128" s="108"/>
      <c r="K128" s="108"/>
      <c r="L128" s="108"/>
      <c r="M128" s="18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B128" s="8"/>
    </row>
    <row r="129" spans="1:30" s="9" customFormat="1" x14ac:dyDescent="0.25">
      <c r="A129" s="3"/>
      <c r="B129" s="22"/>
      <c r="C129" s="88" t="s">
        <v>393</v>
      </c>
      <c r="D129" s="89"/>
      <c r="E129" s="89"/>
      <c r="F129" s="89"/>
      <c r="G129" s="89"/>
      <c r="H129" s="89"/>
      <c r="I129" s="89"/>
      <c r="J129" s="89"/>
      <c r="K129" s="89"/>
      <c r="L129" s="89"/>
      <c r="M129" s="94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B129" s="8"/>
    </row>
    <row r="130" spans="1:30" s="8" customFormat="1" x14ac:dyDescent="0.25">
      <c r="A130" s="6">
        <f>A126+1</f>
        <v>105</v>
      </c>
      <c r="B130" s="14">
        <v>580</v>
      </c>
      <c r="C130" s="6" t="s">
        <v>19</v>
      </c>
      <c r="D130" s="7">
        <v>1700000</v>
      </c>
      <c r="E130" s="7">
        <v>1700000</v>
      </c>
      <c r="F130" s="7">
        <f t="shared" ref="F130:F152" si="74">D130-E130</f>
        <v>0</v>
      </c>
      <c r="G130" s="7">
        <v>1700000</v>
      </c>
      <c r="H130" s="234">
        <v>1583332</v>
      </c>
      <c r="I130" s="7">
        <v>47168.6</v>
      </c>
      <c r="J130" s="7">
        <v>17601.87</v>
      </c>
      <c r="K130" s="7">
        <f t="shared" ref="K130:K147" si="75">SUM(I130:J130)</f>
        <v>64770.47</v>
      </c>
      <c r="L130" s="7">
        <f t="shared" ref="L130:L147" si="76">H130+K130</f>
        <v>1648102.47</v>
      </c>
      <c r="M130" s="15">
        <f t="shared" ref="M130:M147" si="77">P130+S130</f>
        <v>51897.530000000028</v>
      </c>
      <c r="N130" s="7"/>
      <c r="O130" s="7">
        <f t="shared" ref="O130:O152" si="78">D130-L130-M130-N130</f>
        <v>0</v>
      </c>
      <c r="P130" s="7">
        <f t="shared" ref="P130:P147" si="79">G130-L130</f>
        <v>51897.530000000028</v>
      </c>
      <c r="Q130" s="7"/>
      <c r="R130" s="7"/>
      <c r="S130" s="7">
        <f t="shared" ref="S130:S147" si="80">SUM(Q130:R130)</f>
        <v>0</v>
      </c>
      <c r="T130" s="7">
        <f t="shared" ref="T130:T147" si="81">P130-M130+S130</f>
        <v>0</v>
      </c>
      <c r="U130" s="7">
        <f t="shared" ref="U130:U152" si="82">N130-T130</f>
        <v>0</v>
      </c>
      <c r="V130" s="7">
        <f t="shared" ref="V130:V152" si="83">U130-Y130-W130-X130</f>
        <v>0</v>
      </c>
      <c r="W130" s="7"/>
      <c r="X130" s="7"/>
      <c r="Y130" s="6"/>
      <c r="Z130" s="71"/>
      <c r="AB130" s="8">
        <v>732000</v>
      </c>
    </row>
    <row r="131" spans="1:30" s="8" customFormat="1" ht="30" customHeight="1" x14ac:dyDescent="0.25">
      <c r="A131" s="6">
        <f>A130+1</f>
        <v>106</v>
      </c>
      <c r="B131" s="14">
        <v>609</v>
      </c>
      <c r="C131" s="6" t="s">
        <v>20</v>
      </c>
      <c r="D131" s="7">
        <v>1365000</v>
      </c>
      <c r="E131" s="7">
        <v>1365000</v>
      </c>
      <c r="F131" s="7">
        <f t="shared" si="74"/>
        <v>0</v>
      </c>
      <c r="G131" s="7">
        <v>1285000</v>
      </c>
      <c r="H131" s="7">
        <v>1227215.69</v>
      </c>
      <c r="I131" s="7">
        <v>5200</v>
      </c>
      <c r="J131" s="7"/>
      <c r="K131" s="7">
        <f t="shared" si="75"/>
        <v>5200</v>
      </c>
      <c r="L131" s="7">
        <f t="shared" si="76"/>
        <v>1232415.69</v>
      </c>
      <c r="M131" s="15">
        <f t="shared" si="77"/>
        <v>52584.310000000056</v>
      </c>
      <c r="N131" s="7"/>
      <c r="O131" s="7">
        <f t="shared" si="78"/>
        <v>80000</v>
      </c>
      <c r="P131" s="7">
        <f t="shared" si="79"/>
        <v>52584.310000000056</v>
      </c>
      <c r="Q131" s="7"/>
      <c r="R131" s="7"/>
      <c r="S131" s="7">
        <f t="shared" si="80"/>
        <v>0</v>
      </c>
      <c r="T131" s="7">
        <f t="shared" si="81"/>
        <v>0</v>
      </c>
      <c r="U131" s="7">
        <f t="shared" si="82"/>
        <v>0</v>
      </c>
      <c r="V131" s="7">
        <f t="shared" si="83"/>
        <v>0</v>
      </c>
      <c r="W131" s="7"/>
      <c r="X131" s="7"/>
      <c r="Y131" s="6"/>
      <c r="Z131" s="71"/>
      <c r="AB131" s="8">
        <v>732000</v>
      </c>
    </row>
    <row r="132" spans="1:30" s="8" customFormat="1" x14ac:dyDescent="0.25">
      <c r="A132" s="6">
        <f t="shared" ref="A132:A152" si="84">A131+1</f>
        <v>107</v>
      </c>
      <c r="B132" s="14">
        <v>1100</v>
      </c>
      <c r="C132" s="6" t="s">
        <v>21</v>
      </c>
      <c r="D132" s="7">
        <v>7000000</v>
      </c>
      <c r="E132" s="7">
        <v>3100000</v>
      </c>
      <c r="F132" s="7">
        <f t="shared" si="74"/>
        <v>3900000</v>
      </c>
      <c r="G132" s="7">
        <v>2600000</v>
      </c>
      <c r="H132" s="234">
        <v>1679559</v>
      </c>
      <c r="I132" s="234">
        <v>56040</v>
      </c>
      <c r="J132" s="7">
        <v>535039.35</v>
      </c>
      <c r="K132" s="7">
        <f t="shared" si="75"/>
        <v>591079.35</v>
      </c>
      <c r="L132" s="7">
        <f t="shared" si="76"/>
        <v>2270638.35</v>
      </c>
      <c r="M132" s="15">
        <f t="shared" si="77"/>
        <v>329361.64999999991</v>
      </c>
      <c r="N132" s="7">
        <v>2500000</v>
      </c>
      <c r="O132" s="7">
        <f t="shared" si="78"/>
        <v>1900000</v>
      </c>
      <c r="P132" s="7">
        <f t="shared" si="79"/>
        <v>329361.64999999991</v>
      </c>
      <c r="Q132" s="7"/>
      <c r="R132" s="7"/>
      <c r="S132" s="7">
        <f t="shared" si="80"/>
        <v>0</v>
      </c>
      <c r="T132" s="7">
        <f t="shared" si="81"/>
        <v>0</v>
      </c>
      <c r="U132" s="7">
        <f t="shared" si="82"/>
        <v>2500000</v>
      </c>
      <c r="V132" s="7">
        <f t="shared" si="83"/>
        <v>2500000</v>
      </c>
      <c r="W132" s="7"/>
      <c r="X132" s="7"/>
      <c r="Y132" s="6"/>
      <c r="Z132" s="71"/>
      <c r="AB132" s="8">
        <v>732000</v>
      </c>
    </row>
    <row r="133" spans="1:30" s="8" customFormat="1" x14ac:dyDescent="0.25">
      <c r="A133" s="6">
        <f t="shared" si="84"/>
        <v>108</v>
      </c>
      <c r="B133" s="14">
        <v>1240</v>
      </c>
      <c r="C133" s="6" t="s">
        <v>22</v>
      </c>
      <c r="D133" s="7">
        <f>650000-400000</f>
        <v>250000</v>
      </c>
      <c r="E133" s="7">
        <v>250000</v>
      </c>
      <c r="F133" s="7">
        <f t="shared" si="74"/>
        <v>0</v>
      </c>
      <c r="G133" s="7">
        <v>150000</v>
      </c>
      <c r="H133" s="234">
        <v>120414</v>
      </c>
      <c r="I133" s="7"/>
      <c r="J133" s="7">
        <v>28.52</v>
      </c>
      <c r="K133" s="7">
        <f t="shared" si="75"/>
        <v>28.52</v>
      </c>
      <c r="L133" s="7">
        <f t="shared" si="76"/>
        <v>120442.52</v>
      </c>
      <c r="M133" s="15">
        <f t="shared" si="77"/>
        <v>29557.479999999996</v>
      </c>
      <c r="N133" s="7"/>
      <c r="O133" s="7">
        <f t="shared" si="78"/>
        <v>100000</v>
      </c>
      <c r="P133" s="7">
        <f t="shared" si="79"/>
        <v>29557.479999999996</v>
      </c>
      <c r="Q133" s="7"/>
      <c r="R133" s="7"/>
      <c r="S133" s="7">
        <f t="shared" si="80"/>
        <v>0</v>
      </c>
      <c r="T133" s="7">
        <f t="shared" si="81"/>
        <v>0</v>
      </c>
      <c r="U133" s="7">
        <f t="shared" si="82"/>
        <v>0</v>
      </c>
      <c r="V133" s="7">
        <f t="shared" si="83"/>
        <v>0</v>
      </c>
      <c r="W133" s="7"/>
      <c r="X133" s="7"/>
      <c r="Y133" s="6"/>
      <c r="Z133" s="71"/>
      <c r="AB133" s="8">
        <v>732000</v>
      </c>
    </row>
    <row r="134" spans="1:30" s="8" customFormat="1" x14ac:dyDescent="0.25">
      <c r="A134" s="6">
        <f t="shared" si="84"/>
        <v>109</v>
      </c>
      <c r="B134" s="14">
        <v>1326</v>
      </c>
      <c r="C134" s="6" t="s">
        <v>23</v>
      </c>
      <c r="D134" s="7">
        <v>300000</v>
      </c>
      <c r="E134" s="7">
        <v>300000</v>
      </c>
      <c r="F134" s="7">
        <f t="shared" si="74"/>
        <v>0</v>
      </c>
      <c r="G134" s="7">
        <v>300000</v>
      </c>
      <c r="H134" s="7">
        <v>51468.25</v>
      </c>
      <c r="I134" s="7">
        <v>140229.28</v>
      </c>
      <c r="J134" s="7"/>
      <c r="K134" s="7">
        <f t="shared" si="75"/>
        <v>140229.28</v>
      </c>
      <c r="L134" s="7">
        <f t="shared" si="76"/>
        <v>191697.53</v>
      </c>
      <c r="M134" s="15">
        <f t="shared" si="77"/>
        <v>108302.47</v>
      </c>
      <c r="N134" s="7"/>
      <c r="O134" s="7">
        <f t="shared" si="78"/>
        <v>0</v>
      </c>
      <c r="P134" s="7">
        <f t="shared" si="79"/>
        <v>108302.47</v>
      </c>
      <c r="Q134" s="7"/>
      <c r="R134" s="7"/>
      <c r="S134" s="7">
        <f t="shared" si="80"/>
        <v>0</v>
      </c>
      <c r="T134" s="7">
        <f t="shared" si="81"/>
        <v>0</v>
      </c>
      <c r="U134" s="7">
        <f t="shared" si="82"/>
        <v>0</v>
      </c>
      <c r="V134" s="7">
        <f t="shared" si="83"/>
        <v>0</v>
      </c>
      <c r="W134" s="7"/>
      <c r="X134" s="7"/>
      <c r="Y134" s="6"/>
      <c r="Z134" s="71"/>
      <c r="AB134" s="8">
        <v>732000</v>
      </c>
    </row>
    <row r="135" spans="1:30" s="8" customFormat="1" x14ac:dyDescent="0.25">
      <c r="A135" s="6">
        <f t="shared" si="84"/>
        <v>110</v>
      </c>
      <c r="B135" s="14">
        <v>1406</v>
      </c>
      <c r="C135" s="6" t="s">
        <v>619</v>
      </c>
      <c r="D135" s="7">
        <f>1000000-300000</f>
        <v>700000</v>
      </c>
      <c r="E135" s="7">
        <v>700000</v>
      </c>
      <c r="F135" s="7">
        <f t="shared" si="74"/>
        <v>0</v>
      </c>
      <c r="G135" s="7">
        <v>700000</v>
      </c>
      <c r="H135" s="7">
        <v>272362</v>
      </c>
      <c r="I135" s="7">
        <v>78310</v>
      </c>
      <c r="J135" s="7">
        <v>127490</v>
      </c>
      <c r="K135" s="7">
        <f t="shared" si="75"/>
        <v>205800</v>
      </c>
      <c r="L135" s="7">
        <f t="shared" si="76"/>
        <v>478162</v>
      </c>
      <c r="M135" s="15">
        <f t="shared" si="77"/>
        <v>221838</v>
      </c>
      <c r="N135" s="7"/>
      <c r="O135" s="7">
        <f t="shared" si="78"/>
        <v>0</v>
      </c>
      <c r="P135" s="7">
        <f t="shared" si="79"/>
        <v>221838</v>
      </c>
      <c r="Q135" s="7"/>
      <c r="R135" s="7"/>
      <c r="S135" s="7">
        <f t="shared" si="80"/>
        <v>0</v>
      </c>
      <c r="T135" s="7">
        <f t="shared" si="81"/>
        <v>0</v>
      </c>
      <c r="U135" s="7">
        <f t="shared" si="82"/>
        <v>0</v>
      </c>
      <c r="V135" s="7">
        <f t="shared" si="83"/>
        <v>0</v>
      </c>
      <c r="W135" s="7"/>
      <c r="X135" s="7"/>
      <c r="Y135" s="6"/>
      <c r="Z135" s="71"/>
      <c r="AB135" s="8">
        <v>732000</v>
      </c>
    </row>
    <row r="136" spans="1:30" s="8" customFormat="1" ht="30" customHeight="1" x14ac:dyDescent="0.25">
      <c r="A136" s="6">
        <f t="shared" si="84"/>
        <v>111</v>
      </c>
      <c r="B136" s="14">
        <v>1407</v>
      </c>
      <c r="C136" s="6" t="s">
        <v>24</v>
      </c>
      <c r="D136" s="15">
        <v>3430000</v>
      </c>
      <c r="E136" s="7">
        <v>3130000</v>
      </c>
      <c r="F136" s="7">
        <f t="shared" si="74"/>
        <v>300000</v>
      </c>
      <c r="G136" s="7">
        <v>2630000</v>
      </c>
      <c r="H136" s="234">
        <v>1447999</v>
      </c>
      <c r="I136" s="234">
        <v>952310</v>
      </c>
      <c r="J136" s="7">
        <v>79195.399999999994</v>
      </c>
      <c r="K136" s="7">
        <f t="shared" si="75"/>
        <v>1031505.4</v>
      </c>
      <c r="L136" s="7">
        <f t="shared" si="76"/>
        <v>2479504.4</v>
      </c>
      <c r="M136" s="15">
        <f t="shared" si="77"/>
        <v>650495.60000000009</v>
      </c>
      <c r="N136" s="7">
        <v>265000</v>
      </c>
      <c r="O136" s="7">
        <f t="shared" si="78"/>
        <v>35000</v>
      </c>
      <c r="P136" s="7">
        <f t="shared" si="79"/>
        <v>150495.60000000009</v>
      </c>
      <c r="Q136" s="7">
        <v>500000</v>
      </c>
      <c r="R136" s="7"/>
      <c r="S136" s="7">
        <f t="shared" si="80"/>
        <v>500000</v>
      </c>
      <c r="T136" s="7">
        <f t="shared" si="81"/>
        <v>0</v>
      </c>
      <c r="U136" s="7">
        <f t="shared" si="82"/>
        <v>265000</v>
      </c>
      <c r="V136" s="7">
        <f t="shared" si="83"/>
        <v>265000</v>
      </c>
      <c r="W136" s="7"/>
      <c r="X136" s="7"/>
      <c r="Y136" s="6"/>
      <c r="Z136" s="71"/>
      <c r="AA136" s="66"/>
      <c r="AB136" s="8">
        <v>732000</v>
      </c>
    </row>
    <row r="137" spans="1:30" s="66" customFormat="1" ht="15.6" x14ac:dyDescent="0.25">
      <c r="A137" s="6">
        <f t="shared" si="84"/>
        <v>112</v>
      </c>
      <c r="B137" s="14">
        <v>1408</v>
      </c>
      <c r="C137" s="6" t="s">
        <v>25</v>
      </c>
      <c r="D137" s="7">
        <v>1000000</v>
      </c>
      <c r="E137" s="7">
        <v>1000000</v>
      </c>
      <c r="F137" s="7">
        <f t="shared" si="74"/>
        <v>0</v>
      </c>
      <c r="G137" s="7">
        <v>100000</v>
      </c>
      <c r="H137" s="7">
        <v>0</v>
      </c>
      <c r="I137" s="7">
        <v>99760</v>
      </c>
      <c r="J137" s="7"/>
      <c r="K137" s="7">
        <f t="shared" si="75"/>
        <v>99760</v>
      </c>
      <c r="L137" s="7">
        <f t="shared" si="76"/>
        <v>99760</v>
      </c>
      <c r="M137" s="15">
        <f t="shared" si="77"/>
        <v>240</v>
      </c>
      <c r="N137" s="7"/>
      <c r="O137" s="7">
        <f t="shared" si="78"/>
        <v>900000</v>
      </c>
      <c r="P137" s="7">
        <f t="shared" si="79"/>
        <v>240</v>
      </c>
      <c r="Q137" s="7"/>
      <c r="R137" s="7"/>
      <c r="S137" s="7">
        <f t="shared" si="80"/>
        <v>0</v>
      </c>
      <c r="T137" s="7">
        <f t="shared" si="81"/>
        <v>0</v>
      </c>
      <c r="U137" s="7">
        <f t="shared" si="82"/>
        <v>0</v>
      </c>
      <c r="V137" s="7">
        <f t="shared" si="83"/>
        <v>0</v>
      </c>
      <c r="W137" s="7"/>
      <c r="X137" s="7"/>
      <c r="Y137" s="6"/>
      <c r="Z137" s="71"/>
      <c r="AA137" s="8"/>
      <c r="AB137" s="8">
        <v>732000</v>
      </c>
    </row>
    <row r="138" spans="1:30" s="8" customFormat="1" x14ac:dyDescent="0.25">
      <c r="A138" s="6">
        <f t="shared" si="84"/>
        <v>113</v>
      </c>
      <c r="B138" s="14">
        <v>1464</v>
      </c>
      <c r="C138" s="14" t="s">
        <v>27</v>
      </c>
      <c r="D138" s="7">
        <v>200000</v>
      </c>
      <c r="E138" s="7">
        <v>200000</v>
      </c>
      <c r="F138" s="7">
        <f t="shared" si="74"/>
        <v>0</v>
      </c>
      <c r="G138" s="7">
        <v>200000</v>
      </c>
      <c r="H138" s="7">
        <v>17198.810000000001</v>
      </c>
      <c r="I138" s="7"/>
      <c r="J138" s="7">
        <v>1445.98</v>
      </c>
      <c r="K138" s="7">
        <f t="shared" si="75"/>
        <v>1445.98</v>
      </c>
      <c r="L138" s="7">
        <f t="shared" si="76"/>
        <v>18644.79</v>
      </c>
      <c r="M138" s="15">
        <f t="shared" si="77"/>
        <v>181355.21</v>
      </c>
      <c r="N138" s="7"/>
      <c r="O138" s="7">
        <f t="shared" si="78"/>
        <v>0</v>
      </c>
      <c r="P138" s="7">
        <f t="shared" si="79"/>
        <v>181355.21</v>
      </c>
      <c r="Q138" s="7"/>
      <c r="R138" s="7"/>
      <c r="S138" s="7">
        <f t="shared" si="80"/>
        <v>0</v>
      </c>
      <c r="T138" s="7">
        <f t="shared" si="81"/>
        <v>0</v>
      </c>
      <c r="U138" s="7">
        <f t="shared" si="82"/>
        <v>0</v>
      </c>
      <c r="V138" s="7">
        <f t="shared" si="83"/>
        <v>0</v>
      </c>
      <c r="W138" s="7"/>
      <c r="X138" s="7"/>
      <c r="Y138" s="6"/>
      <c r="Z138" s="71"/>
      <c r="AB138" s="8">
        <v>732000</v>
      </c>
    </row>
    <row r="139" spans="1:30" s="8" customFormat="1" x14ac:dyDescent="0.25">
      <c r="A139" s="6">
        <f t="shared" si="84"/>
        <v>114</v>
      </c>
      <c r="B139" s="14">
        <v>1465</v>
      </c>
      <c r="C139" s="6" t="s">
        <v>28</v>
      </c>
      <c r="D139" s="7">
        <v>100000</v>
      </c>
      <c r="E139" s="7">
        <v>100000</v>
      </c>
      <c r="F139" s="7">
        <f t="shared" si="74"/>
        <v>0</v>
      </c>
      <c r="G139" s="7">
        <v>100000</v>
      </c>
      <c r="H139" s="7">
        <v>0</v>
      </c>
      <c r="I139" s="7">
        <v>59206.400000000001</v>
      </c>
      <c r="J139" s="7"/>
      <c r="K139" s="7">
        <f t="shared" si="75"/>
        <v>59206.400000000001</v>
      </c>
      <c r="L139" s="7">
        <f t="shared" si="76"/>
        <v>59206.400000000001</v>
      </c>
      <c r="M139" s="15">
        <f t="shared" si="77"/>
        <v>40793.599999999999</v>
      </c>
      <c r="N139" s="7"/>
      <c r="O139" s="7">
        <f t="shared" si="78"/>
        <v>0</v>
      </c>
      <c r="P139" s="7">
        <f t="shared" si="79"/>
        <v>40793.599999999999</v>
      </c>
      <c r="Q139" s="7"/>
      <c r="R139" s="7"/>
      <c r="S139" s="7">
        <f t="shared" si="80"/>
        <v>0</v>
      </c>
      <c r="T139" s="7">
        <f t="shared" si="81"/>
        <v>0</v>
      </c>
      <c r="U139" s="7">
        <f t="shared" si="82"/>
        <v>0</v>
      </c>
      <c r="V139" s="7">
        <f t="shared" si="83"/>
        <v>0</v>
      </c>
      <c r="W139" s="7"/>
      <c r="X139" s="7"/>
      <c r="Y139" s="6"/>
      <c r="Z139" s="71"/>
      <c r="AA139" s="9"/>
      <c r="AB139" s="8">
        <v>732000</v>
      </c>
    </row>
    <row r="140" spans="1:30" s="8" customFormat="1" x14ac:dyDescent="0.25">
      <c r="A140" s="6">
        <f t="shared" si="84"/>
        <v>115</v>
      </c>
      <c r="B140" s="14">
        <v>1551</v>
      </c>
      <c r="C140" s="6" t="s">
        <v>320</v>
      </c>
      <c r="D140" s="7">
        <v>6000000</v>
      </c>
      <c r="E140" s="7">
        <v>4000000</v>
      </c>
      <c r="F140" s="7">
        <f t="shared" si="74"/>
        <v>2000000</v>
      </c>
      <c r="G140" s="7">
        <v>489240</v>
      </c>
      <c r="H140" s="7">
        <v>159626</v>
      </c>
      <c r="I140" s="7">
        <v>64900</v>
      </c>
      <c r="J140" s="7"/>
      <c r="K140" s="7">
        <f t="shared" si="75"/>
        <v>64900</v>
      </c>
      <c r="L140" s="7">
        <f t="shared" si="76"/>
        <v>224526</v>
      </c>
      <c r="M140" s="15">
        <f t="shared" si="77"/>
        <v>264714</v>
      </c>
      <c r="N140" s="7">
        <v>1500000</v>
      </c>
      <c r="O140" s="7">
        <f t="shared" si="78"/>
        <v>4010760</v>
      </c>
      <c r="P140" s="7">
        <f t="shared" si="79"/>
        <v>264714</v>
      </c>
      <c r="Q140" s="7"/>
      <c r="R140" s="7"/>
      <c r="S140" s="7">
        <f t="shared" si="80"/>
        <v>0</v>
      </c>
      <c r="T140" s="7">
        <f t="shared" si="81"/>
        <v>0</v>
      </c>
      <c r="U140" s="7">
        <f t="shared" si="82"/>
        <v>1500000</v>
      </c>
      <c r="V140" s="7">
        <f t="shared" si="83"/>
        <v>0</v>
      </c>
      <c r="W140" s="7"/>
      <c r="X140" s="7"/>
      <c r="Y140" s="7">
        <v>1500000</v>
      </c>
      <c r="Z140" s="71"/>
      <c r="AB140" s="8">
        <v>732000</v>
      </c>
      <c r="AC140" s="9"/>
      <c r="AD140" s="9"/>
    </row>
    <row r="141" spans="1:30" s="9" customFormat="1" x14ac:dyDescent="0.25">
      <c r="A141" s="6">
        <f t="shared" si="84"/>
        <v>116</v>
      </c>
      <c r="B141" s="14">
        <v>1620</v>
      </c>
      <c r="C141" s="6" t="s">
        <v>593</v>
      </c>
      <c r="D141" s="7">
        <v>1000000</v>
      </c>
      <c r="E141" s="7">
        <v>1000000</v>
      </c>
      <c r="F141" s="7">
        <f t="shared" si="74"/>
        <v>0</v>
      </c>
      <c r="G141" s="7">
        <v>200000</v>
      </c>
      <c r="H141" s="7">
        <v>0</v>
      </c>
      <c r="I141" s="7"/>
      <c r="J141" s="7"/>
      <c r="K141" s="7">
        <f t="shared" si="75"/>
        <v>0</v>
      </c>
      <c r="L141" s="7">
        <f t="shared" si="76"/>
        <v>0</v>
      </c>
      <c r="M141" s="15">
        <f t="shared" si="77"/>
        <v>200000</v>
      </c>
      <c r="N141" s="7"/>
      <c r="O141" s="7">
        <f t="shared" si="78"/>
        <v>800000</v>
      </c>
      <c r="P141" s="7">
        <f t="shared" si="79"/>
        <v>200000</v>
      </c>
      <c r="Q141" s="7"/>
      <c r="R141" s="7"/>
      <c r="S141" s="7">
        <f t="shared" si="80"/>
        <v>0</v>
      </c>
      <c r="T141" s="7">
        <f t="shared" si="81"/>
        <v>0</v>
      </c>
      <c r="U141" s="7">
        <f t="shared" si="82"/>
        <v>0</v>
      </c>
      <c r="V141" s="7">
        <f t="shared" si="83"/>
        <v>0</v>
      </c>
      <c r="W141" s="7"/>
      <c r="X141" s="7"/>
      <c r="Y141" s="7"/>
      <c r="Z141" s="71"/>
      <c r="AA141" s="8"/>
      <c r="AB141" s="8">
        <v>732000</v>
      </c>
      <c r="AC141" s="8"/>
      <c r="AD141" s="8"/>
    </row>
    <row r="142" spans="1:30" s="9" customFormat="1" x14ac:dyDescent="0.25">
      <c r="A142" s="6">
        <f t="shared" si="84"/>
        <v>117</v>
      </c>
      <c r="B142" s="14">
        <v>1673</v>
      </c>
      <c r="C142" s="6" t="s">
        <v>33</v>
      </c>
      <c r="D142" s="7">
        <v>200000</v>
      </c>
      <c r="E142" s="7">
        <v>200000</v>
      </c>
      <c r="F142" s="7">
        <f t="shared" si="74"/>
        <v>0</v>
      </c>
      <c r="G142" s="7">
        <v>200000</v>
      </c>
      <c r="H142" s="7">
        <v>11870.8</v>
      </c>
      <c r="I142" s="7">
        <v>38775.78</v>
      </c>
      <c r="J142" s="7"/>
      <c r="K142" s="7">
        <f t="shared" si="75"/>
        <v>38775.78</v>
      </c>
      <c r="L142" s="7">
        <f t="shared" si="76"/>
        <v>50646.58</v>
      </c>
      <c r="M142" s="15">
        <f t="shared" si="77"/>
        <v>149353.41999999998</v>
      </c>
      <c r="N142" s="7"/>
      <c r="O142" s="7">
        <f t="shared" si="78"/>
        <v>0</v>
      </c>
      <c r="P142" s="7">
        <f t="shared" si="79"/>
        <v>149353.41999999998</v>
      </c>
      <c r="Q142" s="7"/>
      <c r="R142" s="7"/>
      <c r="S142" s="7">
        <f t="shared" si="80"/>
        <v>0</v>
      </c>
      <c r="T142" s="7">
        <f t="shared" si="81"/>
        <v>0</v>
      </c>
      <c r="U142" s="7">
        <f t="shared" si="82"/>
        <v>0</v>
      </c>
      <c r="V142" s="7">
        <f t="shared" si="83"/>
        <v>0</v>
      </c>
      <c r="W142" s="7"/>
      <c r="X142" s="7"/>
      <c r="Y142" s="7"/>
      <c r="Z142" s="71"/>
      <c r="AA142" s="8"/>
      <c r="AB142" s="8">
        <v>732000</v>
      </c>
    </row>
    <row r="143" spans="1:30" s="8" customFormat="1" x14ac:dyDescent="0.25">
      <c r="A143" s="6">
        <f t="shared" si="84"/>
        <v>118</v>
      </c>
      <c r="B143" s="14">
        <v>1701</v>
      </c>
      <c r="C143" s="6" t="s">
        <v>36</v>
      </c>
      <c r="D143" s="7">
        <f>1050000-300000</f>
        <v>750000</v>
      </c>
      <c r="E143" s="7">
        <v>750000</v>
      </c>
      <c r="F143" s="7">
        <f t="shared" si="74"/>
        <v>0</v>
      </c>
      <c r="G143" s="7">
        <v>750000</v>
      </c>
      <c r="H143" s="7">
        <v>16114</v>
      </c>
      <c r="I143" s="7">
        <v>221548.86</v>
      </c>
      <c r="J143" s="7"/>
      <c r="K143" s="7">
        <f t="shared" si="75"/>
        <v>221548.86</v>
      </c>
      <c r="L143" s="7">
        <f t="shared" si="76"/>
        <v>237662.86</v>
      </c>
      <c r="M143" s="15">
        <f t="shared" si="77"/>
        <v>512337.14</v>
      </c>
      <c r="N143" s="7"/>
      <c r="O143" s="7">
        <f t="shared" si="78"/>
        <v>0</v>
      </c>
      <c r="P143" s="7">
        <f t="shared" si="79"/>
        <v>512337.14</v>
      </c>
      <c r="Q143" s="7"/>
      <c r="R143" s="7"/>
      <c r="S143" s="7">
        <f t="shared" si="80"/>
        <v>0</v>
      </c>
      <c r="T143" s="7">
        <f t="shared" si="81"/>
        <v>0</v>
      </c>
      <c r="U143" s="7">
        <f t="shared" si="82"/>
        <v>0</v>
      </c>
      <c r="V143" s="7">
        <f t="shared" si="83"/>
        <v>0</v>
      </c>
      <c r="W143" s="7"/>
      <c r="X143" s="7"/>
      <c r="Y143" s="7"/>
      <c r="Z143" s="71"/>
      <c r="AB143" s="8">
        <v>732000</v>
      </c>
      <c r="AC143" s="9"/>
      <c r="AD143" s="9"/>
    </row>
    <row r="144" spans="1:30" s="8" customFormat="1" x14ac:dyDescent="0.25">
      <c r="A144" s="6">
        <f t="shared" si="84"/>
        <v>119</v>
      </c>
      <c r="B144" s="14">
        <v>1754</v>
      </c>
      <c r="C144" s="6" t="s">
        <v>594</v>
      </c>
      <c r="D144" s="7">
        <v>300000</v>
      </c>
      <c r="E144" s="7">
        <v>300000</v>
      </c>
      <c r="F144" s="7">
        <f t="shared" si="74"/>
        <v>0</v>
      </c>
      <c r="G144" s="7">
        <v>300000</v>
      </c>
      <c r="H144" s="7">
        <v>0</v>
      </c>
      <c r="I144" s="7"/>
      <c r="J144" s="7"/>
      <c r="K144" s="7">
        <f t="shared" si="75"/>
        <v>0</v>
      </c>
      <c r="L144" s="7">
        <f t="shared" si="76"/>
        <v>0</v>
      </c>
      <c r="M144" s="15">
        <f t="shared" si="77"/>
        <v>300000</v>
      </c>
      <c r="N144" s="7"/>
      <c r="O144" s="7">
        <f t="shared" si="78"/>
        <v>0</v>
      </c>
      <c r="P144" s="7">
        <f t="shared" si="79"/>
        <v>300000</v>
      </c>
      <c r="Q144" s="7"/>
      <c r="R144" s="7"/>
      <c r="S144" s="7">
        <f t="shared" si="80"/>
        <v>0</v>
      </c>
      <c r="T144" s="7">
        <f t="shared" si="81"/>
        <v>0</v>
      </c>
      <c r="U144" s="7">
        <f t="shared" si="82"/>
        <v>0</v>
      </c>
      <c r="V144" s="7">
        <f t="shared" si="83"/>
        <v>0</v>
      </c>
      <c r="W144" s="7"/>
      <c r="X144" s="7"/>
      <c r="Y144" s="6"/>
      <c r="Z144" s="71"/>
      <c r="AB144" s="8">
        <v>742000</v>
      </c>
    </row>
    <row r="145" spans="1:30" s="9" customFormat="1" x14ac:dyDescent="0.25">
      <c r="A145" s="6">
        <f t="shared" si="84"/>
        <v>120</v>
      </c>
      <c r="B145" s="14">
        <v>1755</v>
      </c>
      <c r="C145" s="6" t="s">
        <v>41</v>
      </c>
      <c r="D145" s="7">
        <f>600000-100000</f>
        <v>500000</v>
      </c>
      <c r="E145" s="7">
        <v>500000</v>
      </c>
      <c r="F145" s="7">
        <f t="shared" si="74"/>
        <v>0</v>
      </c>
      <c r="G145" s="7">
        <v>500000</v>
      </c>
      <c r="H145" s="7">
        <v>4577</v>
      </c>
      <c r="I145" s="7">
        <v>86078.33</v>
      </c>
      <c r="J145" s="7"/>
      <c r="K145" s="7">
        <f t="shared" si="75"/>
        <v>86078.33</v>
      </c>
      <c r="L145" s="7">
        <f t="shared" si="76"/>
        <v>90655.33</v>
      </c>
      <c r="M145" s="15">
        <f t="shared" si="77"/>
        <v>409344.67</v>
      </c>
      <c r="N145" s="7"/>
      <c r="O145" s="7">
        <f t="shared" si="78"/>
        <v>0</v>
      </c>
      <c r="P145" s="7">
        <f t="shared" si="79"/>
        <v>409344.67</v>
      </c>
      <c r="Q145" s="7"/>
      <c r="R145" s="7"/>
      <c r="S145" s="7">
        <f t="shared" si="80"/>
        <v>0</v>
      </c>
      <c r="T145" s="7">
        <f t="shared" si="81"/>
        <v>0</v>
      </c>
      <c r="U145" s="7">
        <f t="shared" si="82"/>
        <v>0</v>
      </c>
      <c r="V145" s="7">
        <f t="shared" si="83"/>
        <v>0</v>
      </c>
      <c r="W145" s="7"/>
      <c r="X145" s="7"/>
      <c r="Y145" s="6"/>
      <c r="Z145" s="71"/>
      <c r="AA145" s="8"/>
      <c r="AB145" s="8">
        <v>732000</v>
      </c>
      <c r="AC145" s="8"/>
      <c r="AD145" s="8"/>
    </row>
    <row r="146" spans="1:30" s="8" customFormat="1" x14ac:dyDescent="0.25">
      <c r="A146" s="6">
        <f t="shared" si="84"/>
        <v>121</v>
      </c>
      <c r="B146" s="14">
        <v>1760</v>
      </c>
      <c r="C146" s="6" t="s">
        <v>40</v>
      </c>
      <c r="D146" s="7">
        <v>500000</v>
      </c>
      <c r="E146" s="7">
        <v>500000</v>
      </c>
      <c r="F146" s="7">
        <f t="shared" si="74"/>
        <v>0</v>
      </c>
      <c r="G146" s="7">
        <v>50000</v>
      </c>
      <c r="H146" s="7">
        <v>0</v>
      </c>
      <c r="I146" s="7"/>
      <c r="J146" s="7"/>
      <c r="K146" s="7">
        <f t="shared" si="75"/>
        <v>0</v>
      </c>
      <c r="L146" s="7">
        <f t="shared" si="76"/>
        <v>0</v>
      </c>
      <c r="M146" s="15">
        <f t="shared" si="77"/>
        <v>50000</v>
      </c>
      <c r="N146" s="7">
        <v>450000</v>
      </c>
      <c r="O146" s="7">
        <f t="shared" si="78"/>
        <v>0</v>
      </c>
      <c r="P146" s="7">
        <f t="shared" si="79"/>
        <v>50000</v>
      </c>
      <c r="Q146" s="7"/>
      <c r="R146" s="7"/>
      <c r="S146" s="7">
        <f t="shared" si="80"/>
        <v>0</v>
      </c>
      <c r="T146" s="7">
        <f t="shared" si="81"/>
        <v>0</v>
      </c>
      <c r="U146" s="7">
        <f t="shared" si="82"/>
        <v>450000</v>
      </c>
      <c r="V146" s="7">
        <f t="shared" si="83"/>
        <v>450000</v>
      </c>
      <c r="W146" s="7"/>
      <c r="X146" s="7"/>
      <c r="Y146" s="6"/>
      <c r="Z146" s="71"/>
      <c r="AB146" s="8">
        <v>732000</v>
      </c>
    </row>
    <row r="147" spans="1:30" s="8" customFormat="1" x14ac:dyDescent="0.25">
      <c r="A147" s="6">
        <f t="shared" si="84"/>
        <v>122</v>
      </c>
      <c r="B147" s="14">
        <v>1799</v>
      </c>
      <c r="C147" s="6" t="s">
        <v>351</v>
      </c>
      <c r="D147" s="7">
        <v>1000000</v>
      </c>
      <c r="E147" s="7">
        <v>250000</v>
      </c>
      <c r="F147" s="7">
        <f t="shared" si="74"/>
        <v>750000</v>
      </c>
      <c r="G147" s="7">
        <v>250000</v>
      </c>
      <c r="H147" s="7">
        <v>0</v>
      </c>
      <c r="I147" s="7">
        <v>14160</v>
      </c>
      <c r="J147" s="7"/>
      <c r="K147" s="7">
        <f t="shared" si="75"/>
        <v>14160</v>
      </c>
      <c r="L147" s="7">
        <f t="shared" si="76"/>
        <v>14160</v>
      </c>
      <c r="M147" s="15">
        <f t="shared" si="77"/>
        <v>235840</v>
      </c>
      <c r="N147" s="7">
        <v>350000</v>
      </c>
      <c r="O147" s="7">
        <f t="shared" si="78"/>
        <v>400000</v>
      </c>
      <c r="P147" s="7">
        <f t="shared" si="79"/>
        <v>235840</v>
      </c>
      <c r="Q147" s="7"/>
      <c r="R147" s="7"/>
      <c r="S147" s="7">
        <f t="shared" si="80"/>
        <v>0</v>
      </c>
      <c r="T147" s="7">
        <f t="shared" si="81"/>
        <v>0</v>
      </c>
      <c r="U147" s="7">
        <f t="shared" si="82"/>
        <v>350000</v>
      </c>
      <c r="V147" s="7">
        <f t="shared" si="83"/>
        <v>350000</v>
      </c>
      <c r="W147" s="7"/>
      <c r="X147" s="7"/>
      <c r="Y147" s="6"/>
      <c r="Z147" s="71"/>
      <c r="AB147" s="8">
        <v>732000</v>
      </c>
    </row>
    <row r="148" spans="1:30" s="8" customFormat="1" ht="15.6" x14ac:dyDescent="0.25">
      <c r="A148" s="6">
        <f t="shared" si="84"/>
        <v>123</v>
      </c>
      <c r="B148" s="14">
        <v>1838</v>
      </c>
      <c r="C148" s="14" t="s">
        <v>614</v>
      </c>
      <c r="D148" s="15">
        <v>400000</v>
      </c>
      <c r="E148" s="7"/>
      <c r="F148" s="7">
        <f t="shared" si="74"/>
        <v>400000</v>
      </c>
      <c r="G148" s="7"/>
      <c r="H148" s="7"/>
      <c r="I148" s="7"/>
      <c r="J148" s="7"/>
      <c r="K148" s="7"/>
      <c r="L148" s="7"/>
      <c r="M148" s="15"/>
      <c r="N148" s="7">
        <v>400000</v>
      </c>
      <c r="O148" s="7">
        <f t="shared" si="78"/>
        <v>0</v>
      </c>
      <c r="P148" s="7"/>
      <c r="Q148" s="7"/>
      <c r="R148" s="7"/>
      <c r="S148" s="7"/>
      <c r="T148" s="7"/>
      <c r="U148" s="7">
        <f t="shared" si="82"/>
        <v>400000</v>
      </c>
      <c r="V148" s="7">
        <f t="shared" si="83"/>
        <v>400000</v>
      </c>
      <c r="W148" s="7"/>
      <c r="X148" s="7"/>
      <c r="Y148" s="6"/>
      <c r="Z148" s="71"/>
      <c r="AA148" s="66"/>
      <c r="AB148" s="8">
        <v>732000</v>
      </c>
    </row>
    <row r="149" spans="1:30" s="8" customFormat="1" x14ac:dyDescent="0.25">
      <c r="A149" s="6">
        <f t="shared" si="84"/>
        <v>124</v>
      </c>
      <c r="B149" s="14">
        <v>1839</v>
      </c>
      <c r="C149" s="6" t="s">
        <v>431</v>
      </c>
      <c r="D149" s="7">
        <v>150000</v>
      </c>
      <c r="E149" s="7"/>
      <c r="F149" s="7">
        <f t="shared" si="74"/>
        <v>150000</v>
      </c>
      <c r="G149" s="7"/>
      <c r="H149" s="7"/>
      <c r="I149" s="7"/>
      <c r="J149" s="7"/>
      <c r="K149" s="7"/>
      <c r="L149" s="7"/>
      <c r="M149" s="15"/>
      <c r="N149" s="7">
        <v>150000</v>
      </c>
      <c r="O149" s="7">
        <f t="shared" si="78"/>
        <v>0</v>
      </c>
      <c r="P149" s="7"/>
      <c r="Q149" s="7"/>
      <c r="R149" s="7"/>
      <c r="S149" s="7"/>
      <c r="T149" s="7"/>
      <c r="U149" s="7">
        <f t="shared" si="82"/>
        <v>150000</v>
      </c>
      <c r="V149" s="7">
        <f t="shared" si="83"/>
        <v>150000</v>
      </c>
      <c r="W149" s="7"/>
      <c r="X149" s="7"/>
      <c r="Y149" s="7"/>
      <c r="Z149" s="71"/>
      <c r="AB149" s="8">
        <v>732000</v>
      </c>
    </row>
    <row r="150" spans="1:30" s="8" customFormat="1" x14ac:dyDescent="0.25">
      <c r="A150" s="6">
        <f t="shared" si="84"/>
        <v>125</v>
      </c>
      <c r="B150" s="14">
        <v>1840</v>
      </c>
      <c r="C150" s="6" t="s">
        <v>430</v>
      </c>
      <c r="D150" s="7">
        <v>400000</v>
      </c>
      <c r="E150" s="7"/>
      <c r="F150" s="7">
        <f t="shared" si="74"/>
        <v>400000</v>
      </c>
      <c r="G150" s="7"/>
      <c r="H150" s="7"/>
      <c r="I150" s="7"/>
      <c r="J150" s="7"/>
      <c r="K150" s="7"/>
      <c r="L150" s="7"/>
      <c r="M150" s="15"/>
      <c r="N150" s="7">
        <v>100000</v>
      </c>
      <c r="O150" s="7">
        <f t="shared" si="78"/>
        <v>300000</v>
      </c>
      <c r="P150" s="7"/>
      <c r="Q150" s="7"/>
      <c r="R150" s="7"/>
      <c r="S150" s="7"/>
      <c r="T150" s="7"/>
      <c r="U150" s="7">
        <f t="shared" si="82"/>
        <v>100000</v>
      </c>
      <c r="V150" s="7">
        <f t="shared" si="83"/>
        <v>100000</v>
      </c>
      <c r="W150" s="7"/>
      <c r="X150" s="7"/>
      <c r="Y150" s="7"/>
      <c r="Z150" s="71"/>
      <c r="AB150" s="8">
        <v>732000</v>
      </c>
    </row>
    <row r="151" spans="1:30" s="8" customFormat="1" x14ac:dyDescent="0.25">
      <c r="A151" s="6">
        <f t="shared" si="84"/>
        <v>126</v>
      </c>
      <c r="B151" s="14">
        <v>1841</v>
      </c>
      <c r="C151" s="14" t="s">
        <v>615</v>
      </c>
      <c r="D151" s="7">
        <v>600000</v>
      </c>
      <c r="E151" s="7"/>
      <c r="F151" s="7">
        <f t="shared" si="74"/>
        <v>600000</v>
      </c>
      <c r="G151" s="7"/>
      <c r="H151" s="7"/>
      <c r="I151" s="7"/>
      <c r="J151" s="7"/>
      <c r="K151" s="7"/>
      <c r="L151" s="7"/>
      <c r="M151" s="15"/>
      <c r="N151" s="7">
        <v>600000</v>
      </c>
      <c r="O151" s="7">
        <f t="shared" si="78"/>
        <v>0</v>
      </c>
      <c r="P151" s="7"/>
      <c r="Q151" s="7"/>
      <c r="R151" s="7"/>
      <c r="S151" s="7"/>
      <c r="T151" s="7"/>
      <c r="U151" s="7">
        <f t="shared" si="82"/>
        <v>600000</v>
      </c>
      <c r="V151" s="7">
        <f t="shared" si="83"/>
        <v>600000</v>
      </c>
      <c r="W151" s="7"/>
      <c r="X151" s="7"/>
      <c r="Y151" s="6"/>
      <c r="Z151" s="71"/>
      <c r="AB151" s="8">
        <v>732000</v>
      </c>
    </row>
    <row r="152" spans="1:30" s="8" customFormat="1" ht="15.6" x14ac:dyDescent="0.25">
      <c r="A152" s="6">
        <f t="shared" si="84"/>
        <v>127</v>
      </c>
      <c r="B152" s="14">
        <v>1842</v>
      </c>
      <c r="C152" s="14" t="s">
        <v>616</v>
      </c>
      <c r="D152" s="15">
        <v>800000</v>
      </c>
      <c r="E152" s="7"/>
      <c r="F152" s="7">
        <f t="shared" si="74"/>
        <v>800000</v>
      </c>
      <c r="G152" s="7"/>
      <c r="H152" s="7"/>
      <c r="I152" s="7"/>
      <c r="J152" s="7"/>
      <c r="K152" s="7"/>
      <c r="L152" s="7"/>
      <c r="M152" s="15"/>
      <c r="N152" s="7">
        <v>800000</v>
      </c>
      <c r="O152" s="7">
        <f t="shared" si="78"/>
        <v>0</v>
      </c>
      <c r="P152" s="7"/>
      <c r="Q152" s="7"/>
      <c r="R152" s="7"/>
      <c r="S152" s="7"/>
      <c r="T152" s="7"/>
      <c r="U152" s="7">
        <f t="shared" si="82"/>
        <v>800000</v>
      </c>
      <c r="V152" s="7">
        <f t="shared" si="83"/>
        <v>800000</v>
      </c>
      <c r="W152" s="7"/>
      <c r="X152" s="7"/>
      <c r="Y152" s="6"/>
      <c r="Z152" s="71"/>
      <c r="AA152" s="66"/>
      <c r="AB152" s="8">
        <v>732000</v>
      </c>
    </row>
    <row r="153" spans="1:30" s="9" customFormat="1" ht="15.6" x14ac:dyDescent="0.25">
      <c r="A153" s="3"/>
      <c r="B153" s="22"/>
      <c r="C153" s="88" t="s">
        <v>394</v>
      </c>
      <c r="D153" s="94">
        <f t="shared" ref="D153:Y153" si="85">SUM(D130:D152)</f>
        <v>28645000</v>
      </c>
      <c r="E153" s="94">
        <f t="shared" si="85"/>
        <v>19345000</v>
      </c>
      <c r="F153" s="94">
        <f t="shared" si="85"/>
        <v>9300000</v>
      </c>
      <c r="G153" s="94">
        <f t="shared" si="85"/>
        <v>12504240</v>
      </c>
      <c r="H153" s="94">
        <f t="shared" si="85"/>
        <v>6591736.5499999989</v>
      </c>
      <c r="I153" s="94">
        <f t="shared" si="85"/>
        <v>1863687.25</v>
      </c>
      <c r="J153" s="94">
        <f t="shared" si="85"/>
        <v>760801.12</v>
      </c>
      <c r="K153" s="94">
        <f t="shared" si="85"/>
        <v>2624488.3699999996</v>
      </c>
      <c r="L153" s="94">
        <f t="shared" si="85"/>
        <v>9216224.9199999981</v>
      </c>
      <c r="M153" s="94">
        <f t="shared" si="85"/>
        <v>3788015.08</v>
      </c>
      <c r="N153" s="94">
        <f t="shared" si="85"/>
        <v>7115000</v>
      </c>
      <c r="O153" s="94">
        <f t="shared" si="85"/>
        <v>8525760</v>
      </c>
      <c r="P153" s="94">
        <f t="shared" si="85"/>
        <v>3288015.08</v>
      </c>
      <c r="Q153" s="94">
        <f t="shared" si="85"/>
        <v>500000</v>
      </c>
      <c r="R153" s="94">
        <f t="shared" si="85"/>
        <v>0</v>
      </c>
      <c r="S153" s="94">
        <f t="shared" si="85"/>
        <v>500000</v>
      </c>
      <c r="T153" s="94">
        <f t="shared" si="85"/>
        <v>0</v>
      </c>
      <c r="U153" s="94">
        <f t="shared" si="85"/>
        <v>7115000</v>
      </c>
      <c r="V153" s="94">
        <f t="shared" si="85"/>
        <v>5615000</v>
      </c>
      <c r="W153" s="94">
        <f t="shared" si="85"/>
        <v>0</v>
      </c>
      <c r="X153" s="94">
        <f t="shared" si="85"/>
        <v>0</v>
      </c>
      <c r="Y153" s="94">
        <f t="shared" si="85"/>
        <v>1500000</v>
      </c>
      <c r="Z153" s="72"/>
      <c r="AA153" s="13"/>
    </row>
    <row r="154" spans="1:30" s="9" customFormat="1" x14ac:dyDescent="0.25">
      <c r="A154" s="3"/>
      <c r="B154" s="22"/>
      <c r="C154" s="3"/>
      <c r="D154" s="89"/>
      <c r="E154" s="89"/>
      <c r="F154" s="89"/>
      <c r="G154" s="89"/>
      <c r="H154" s="89"/>
      <c r="I154" s="89"/>
      <c r="J154" s="89"/>
      <c r="K154" s="89"/>
      <c r="L154" s="89"/>
      <c r="M154" s="94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30" s="9" customFormat="1" x14ac:dyDescent="0.25">
      <c r="A155" s="3"/>
      <c r="B155" s="22"/>
      <c r="C155" s="88" t="s">
        <v>34</v>
      </c>
      <c r="D155" s="89"/>
      <c r="E155" s="89"/>
      <c r="F155" s="89"/>
      <c r="G155" s="89"/>
      <c r="H155" s="89"/>
      <c r="I155" s="89"/>
      <c r="J155" s="89"/>
      <c r="K155" s="89"/>
      <c r="L155" s="89"/>
      <c r="M155" s="94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30" s="8" customFormat="1" x14ac:dyDescent="0.25">
      <c r="A156" s="6">
        <f>A152+1</f>
        <v>128</v>
      </c>
      <c r="B156" s="14">
        <v>1409</v>
      </c>
      <c r="C156" s="6" t="s">
        <v>26</v>
      </c>
      <c r="D156" s="7">
        <v>3300000</v>
      </c>
      <c r="E156" s="7">
        <v>2800000</v>
      </c>
      <c r="F156" s="7">
        <f t="shared" ref="F156:F174" si="86">D156-E156</f>
        <v>500000</v>
      </c>
      <c r="G156" s="7">
        <v>2800000</v>
      </c>
      <c r="H156" s="7">
        <v>2027881.76</v>
      </c>
      <c r="I156" s="7">
        <v>23143.35</v>
      </c>
      <c r="J156" s="7">
        <v>351032.12</v>
      </c>
      <c r="K156" s="7">
        <f t="shared" ref="K156:K172" si="87">SUM(I156:J156)</f>
        <v>374175.47</v>
      </c>
      <c r="L156" s="7">
        <f t="shared" ref="L156:L172" si="88">H156+K156</f>
        <v>2402057.23</v>
      </c>
      <c r="M156" s="15">
        <f>P156+S156</f>
        <v>397942.77</v>
      </c>
      <c r="N156" s="15">
        <v>500000</v>
      </c>
      <c r="O156" s="7">
        <f t="shared" ref="O156:O174" si="89">D156-L156-M156-N156</f>
        <v>0</v>
      </c>
      <c r="P156" s="7">
        <f t="shared" ref="P156:P172" si="90">G156-L156</f>
        <v>397942.77</v>
      </c>
      <c r="Q156" s="7"/>
      <c r="R156" s="7"/>
      <c r="S156" s="7">
        <f t="shared" ref="S156:S172" si="91">SUM(Q156:R156)</f>
        <v>0</v>
      </c>
      <c r="T156" s="7">
        <f t="shared" ref="T156:T172" si="92">P156-M156+S156</f>
        <v>0</v>
      </c>
      <c r="U156" s="7">
        <f t="shared" ref="U156:U174" si="93">N156-T156</f>
        <v>500000</v>
      </c>
      <c r="V156" s="7">
        <f t="shared" ref="V156:V174" si="94">U156-Y156-W156-X156</f>
        <v>500000</v>
      </c>
      <c r="W156" s="7"/>
      <c r="X156" s="7"/>
      <c r="Y156" s="6"/>
      <c r="Z156" s="71"/>
      <c r="AB156" s="8">
        <v>732000</v>
      </c>
    </row>
    <row r="157" spans="1:30" s="8" customFormat="1" x14ac:dyDescent="0.25">
      <c r="A157" s="6">
        <f>A156+1</f>
        <v>129</v>
      </c>
      <c r="B157" s="14">
        <v>1466</v>
      </c>
      <c r="C157" s="6" t="s">
        <v>29</v>
      </c>
      <c r="D157" s="7">
        <v>1300000</v>
      </c>
      <c r="E157" s="7">
        <v>1200000</v>
      </c>
      <c r="F157" s="7">
        <f t="shared" si="86"/>
        <v>100000</v>
      </c>
      <c r="G157" s="7">
        <v>1000000</v>
      </c>
      <c r="H157" s="7">
        <v>691341.86</v>
      </c>
      <c r="I157" s="7">
        <v>107291.99</v>
      </c>
      <c r="J157" s="7"/>
      <c r="K157" s="7">
        <f t="shared" si="87"/>
        <v>107291.99</v>
      </c>
      <c r="L157" s="7">
        <f t="shared" si="88"/>
        <v>798633.85</v>
      </c>
      <c r="M157" s="15">
        <f>P157+S157-37944</f>
        <v>363422.15</v>
      </c>
      <c r="N157" s="15">
        <f>100000+37944</f>
        <v>137944</v>
      </c>
      <c r="O157" s="7">
        <f t="shared" si="89"/>
        <v>0</v>
      </c>
      <c r="P157" s="7">
        <f t="shared" si="90"/>
        <v>201366.15000000002</v>
      </c>
      <c r="Q157" s="7">
        <v>200000</v>
      </c>
      <c r="R157" s="7"/>
      <c r="S157" s="7">
        <f t="shared" si="91"/>
        <v>200000</v>
      </c>
      <c r="T157" s="7">
        <f t="shared" si="92"/>
        <v>37944</v>
      </c>
      <c r="U157" s="7">
        <f t="shared" si="93"/>
        <v>100000</v>
      </c>
      <c r="V157" s="7">
        <f t="shared" si="94"/>
        <v>137944</v>
      </c>
      <c r="W157" s="7"/>
      <c r="X157" s="7"/>
      <c r="Y157" s="7">
        <v>-37944</v>
      </c>
      <c r="Z157" s="71"/>
      <c r="AB157" s="8">
        <v>732000</v>
      </c>
    </row>
    <row r="158" spans="1:30" s="8" customFormat="1" x14ac:dyDescent="0.25">
      <c r="A158" s="6">
        <f t="shared" ref="A158:A174" si="95">A157+1</f>
        <v>130</v>
      </c>
      <c r="B158" s="14">
        <v>1467</v>
      </c>
      <c r="C158" s="6" t="s">
        <v>30</v>
      </c>
      <c r="D158" s="7">
        <v>450000</v>
      </c>
      <c r="E158" s="7">
        <v>450000</v>
      </c>
      <c r="F158" s="7">
        <f t="shared" si="86"/>
        <v>0</v>
      </c>
      <c r="G158" s="7">
        <v>350000</v>
      </c>
      <c r="H158" s="7">
        <v>137130.92000000001</v>
      </c>
      <c r="I158" s="7">
        <v>11682.26</v>
      </c>
      <c r="J158" s="7"/>
      <c r="K158" s="7">
        <f t="shared" si="87"/>
        <v>11682.26</v>
      </c>
      <c r="L158" s="7">
        <f t="shared" si="88"/>
        <v>148813.18000000002</v>
      </c>
      <c r="M158" s="15">
        <f t="shared" ref="M158:M172" si="96">P158+S158</f>
        <v>201186.81999999998</v>
      </c>
      <c r="N158" s="15"/>
      <c r="O158" s="7">
        <f t="shared" si="89"/>
        <v>99999.999999999971</v>
      </c>
      <c r="P158" s="7">
        <f t="shared" si="90"/>
        <v>201186.81999999998</v>
      </c>
      <c r="Q158" s="7"/>
      <c r="R158" s="7"/>
      <c r="S158" s="7">
        <f t="shared" si="91"/>
        <v>0</v>
      </c>
      <c r="T158" s="7">
        <f t="shared" si="92"/>
        <v>0</v>
      </c>
      <c r="U158" s="7">
        <f t="shared" si="93"/>
        <v>0</v>
      </c>
      <c r="V158" s="7">
        <f t="shared" si="94"/>
        <v>0</v>
      </c>
      <c r="W158" s="7"/>
      <c r="X158" s="7"/>
      <c r="Y158" s="6"/>
      <c r="Z158" s="71"/>
      <c r="AB158" s="8">
        <v>732000</v>
      </c>
    </row>
    <row r="159" spans="1:30" s="8" customFormat="1" x14ac:dyDescent="0.25">
      <c r="A159" s="6">
        <f t="shared" si="95"/>
        <v>131</v>
      </c>
      <c r="B159" s="14">
        <v>1527</v>
      </c>
      <c r="C159" s="6" t="s">
        <v>634</v>
      </c>
      <c r="D159" s="7">
        <v>3000000</v>
      </c>
      <c r="E159" s="7">
        <v>3000000</v>
      </c>
      <c r="F159" s="7">
        <f t="shared" si="86"/>
        <v>0</v>
      </c>
      <c r="G159" s="7">
        <v>3000000</v>
      </c>
      <c r="H159" s="7">
        <v>804547.53</v>
      </c>
      <c r="I159" s="7">
        <v>391293.74</v>
      </c>
      <c r="J159" s="7">
        <v>750480.05</v>
      </c>
      <c r="K159" s="7">
        <f t="shared" si="87"/>
        <v>1141773.79</v>
      </c>
      <c r="L159" s="7">
        <f t="shared" si="88"/>
        <v>1946321.32</v>
      </c>
      <c r="M159" s="15">
        <f t="shared" si="96"/>
        <v>1053678.68</v>
      </c>
      <c r="N159" s="15"/>
      <c r="O159" s="7">
        <f t="shared" si="89"/>
        <v>0</v>
      </c>
      <c r="P159" s="7">
        <f t="shared" si="90"/>
        <v>1053678.68</v>
      </c>
      <c r="Q159" s="7"/>
      <c r="R159" s="7"/>
      <c r="S159" s="7">
        <f t="shared" si="91"/>
        <v>0</v>
      </c>
      <c r="T159" s="7">
        <f t="shared" si="92"/>
        <v>0</v>
      </c>
      <c r="U159" s="7">
        <f t="shared" si="93"/>
        <v>0</v>
      </c>
      <c r="V159" s="7">
        <f t="shared" si="94"/>
        <v>0</v>
      </c>
      <c r="W159" s="7"/>
      <c r="X159" s="7"/>
      <c r="Y159" s="6"/>
      <c r="Z159" s="71"/>
      <c r="AB159" s="8">
        <v>732000</v>
      </c>
    </row>
    <row r="160" spans="1:30" s="8" customFormat="1" x14ac:dyDescent="0.25">
      <c r="A160" s="6">
        <f t="shared" si="95"/>
        <v>132</v>
      </c>
      <c r="B160" s="14">
        <v>1619</v>
      </c>
      <c r="C160" s="14" t="s">
        <v>321</v>
      </c>
      <c r="D160" s="15">
        <v>200000</v>
      </c>
      <c r="E160" s="15">
        <v>200000</v>
      </c>
      <c r="F160" s="7">
        <f t="shared" si="86"/>
        <v>0</v>
      </c>
      <c r="G160" s="15">
        <v>200000</v>
      </c>
      <c r="H160" s="15">
        <v>54970</v>
      </c>
      <c r="I160" s="15">
        <v>43949.9</v>
      </c>
      <c r="J160" s="15"/>
      <c r="K160" s="15">
        <f t="shared" si="87"/>
        <v>43949.9</v>
      </c>
      <c r="L160" s="15">
        <f t="shared" si="88"/>
        <v>98919.9</v>
      </c>
      <c r="M160" s="15">
        <f t="shared" si="96"/>
        <v>101080.1</v>
      </c>
      <c r="N160" s="15"/>
      <c r="O160" s="7">
        <f t="shared" si="89"/>
        <v>0</v>
      </c>
      <c r="P160" s="15">
        <f t="shared" si="90"/>
        <v>101080.1</v>
      </c>
      <c r="Q160" s="15"/>
      <c r="R160" s="15"/>
      <c r="S160" s="15">
        <f t="shared" si="91"/>
        <v>0</v>
      </c>
      <c r="T160" s="15">
        <f t="shared" si="92"/>
        <v>0</v>
      </c>
      <c r="U160" s="15">
        <f t="shared" si="93"/>
        <v>0</v>
      </c>
      <c r="V160" s="15">
        <f t="shared" si="94"/>
        <v>0</v>
      </c>
      <c r="W160" s="15"/>
      <c r="X160" s="15"/>
      <c r="Y160" s="15"/>
      <c r="Z160" s="74"/>
      <c r="AB160" s="8">
        <v>732000</v>
      </c>
    </row>
    <row r="161" spans="1:29" s="8" customFormat="1" x14ac:dyDescent="0.25">
      <c r="A161" s="6">
        <f t="shared" si="95"/>
        <v>133</v>
      </c>
      <c r="B161" s="14">
        <v>1660</v>
      </c>
      <c r="C161" s="6" t="s">
        <v>31</v>
      </c>
      <c r="D161" s="7">
        <v>2000000</v>
      </c>
      <c r="E161" s="7">
        <v>2000000</v>
      </c>
      <c r="F161" s="7">
        <f t="shared" si="86"/>
        <v>0</v>
      </c>
      <c r="G161" s="7">
        <v>150000</v>
      </c>
      <c r="H161" s="7">
        <v>85408</v>
      </c>
      <c r="I161" s="7">
        <v>38350</v>
      </c>
      <c r="J161" s="7">
        <v>1.18</v>
      </c>
      <c r="K161" s="7">
        <f t="shared" si="87"/>
        <v>38351.18</v>
      </c>
      <c r="L161" s="7">
        <f t="shared" si="88"/>
        <v>123759.18</v>
      </c>
      <c r="M161" s="15">
        <f t="shared" si="96"/>
        <v>26240.820000000007</v>
      </c>
      <c r="N161" s="15"/>
      <c r="O161" s="7">
        <f t="shared" si="89"/>
        <v>1850000</v>
      </c>
      <c r="P161" s="7">
        <f t="shared" si="90"/>
        <v>26240.820000000007</v>
      </c>
      <c r="Q161" s="7"/>
      <c r="R161" s="7"/>
      <c r="S161" s="7">
        <f t="shared" si="91"/>
        <v>0</v>
      </c>
      <c r="T161" s="7">
        <f t="shared" si="92"/>
        <v>0</v>
      </c>
      <c r="U161" s="7">
        <f t="shared" si="93"/>
        <v>0</v>
      </c>
      <c r="V161" s="7">
        <f t="shared" si="94"/>
        <v>0</v>
      </c>
      <c r="W161" s="7"/>
      <c r="X161" s="7"/>
      <c r="Y161" s="7"/>
      <c r="Z161" s="71"/>
      <c r="AB161" s="8">
        <v>732000</v>
      </c>
    </row>
    <row r="162" spans="1:29" s="8" customFormat="1" x14ac:dyDescent="0.25">
      <c r="A162" s="6">
        <f t="shared" si="95"/>
        <v>134</v>
      </c>
      <c r="B162" s="14">
        <v>1674</v>
      </c>
      <c r="C162" s="6" t="s">
        <v>34</v>
      </c>
      <c r="D162" s="7">
        <v>1800000</v>
      </c>
      <c r="E162" s="7">
        <v>1600000</v>
      </c>
      <c r="F162" s="7">
        <f t="shared" si="86"/>
        <v>200000</v>
      </c>
      <c r="G162" s="7">
        <v>1500000</v>
      </c>
      <c r="H162" s="7">
        <v>252092</v>
      </c>
      <c r="I162" s="7">
        <v>584584.04</v>
      </c>
      <c r="J162" s="7"/>
      <c r="K162" s="7">
        <f t="shared" si="87"/>
        <v>584584.04</v>
      </c>
      <c r="L162" s="7">
        <f t="shared" si="88"/>
        <v>836676.04</v>
      </c>
      <c r="M162" s="15">
        <f t="shared" si="96"/>
        <v>663323.96</v>
      </c>
      <c r="N162" s="15">
        <v>300000</v>
      </c>
      <c r="O162" s="7">
        <f t="shared" si="89"/>
        <v>0</v>
      </c>
      <c r="P162" s="7">
        <f t="shared" si="90"/>
        <v>663323.96</v>
      </c>
      <c r="Q162" s="7"/>
      <c r="R162" s="7"/>
      <c r="S162" s="7">
        <f t="shared" si="91"/>
        <v>0</v>
      </c>
      <c r="T162" s="7">
        <f t="shared" si="92"/>
        <v>0</v>
      </c>
      <c r="U162" s="7">
        <f t="shared" si="93"/>
        <v>300000</v>
      </c>
      <c r="V162" s="7">
        <f t="shared" si="94"/>
        <v>300000</v>
      </c>
      <c r="W162" s="7"/>
      <c r="X162" s="7"/>
      <c r="Y162" s="7"/>
      <c r="Z162" s="71"/>
      <c r="AB162" s="8">
        <v>732000</v>
      </c>
    </row>
    <row r="163" spans="1:29" s="8" customFormat="1" x14ac:dyDescent="0.25">
      <c r="A163" s="6">
        <f t="shared" si="95"/>
        <v>135</v>
      </c>
      <c r="B163" s="14">
        <v>1692</v>
      </c>
      <c r="C163" s="6" t="s">
        <v>35</v>
      </c>
      <c r="D163" s="7">
        <v>2000000</v>
      </c>
      <c r="E163" s="7">
        <v>2000000</v>
      </c>
      <c r="F163" s="7">
        <f t="shared" si="86"/>
        <v>0</v>
      </c>
      <c r="G163" s="7">
        <v>1439186</v>
      </c>
      <c r="H163" s="7">
        <v>10703.57</v>
      </c>
      <c r="I163" s="7">
        <v>133918.20000000001</v>
      </c>
      <c r="J163" s="7">
        <v>115261.43</v>
      </c>
      <c r="K163" s="7">
        <f t="shared" si="87"/>
        <v>249179.63</v>
      </c>
      <c r="L163" s="7">
        <f t="shared" si="88"/>
        <v>259883.2</v>
      </c>
      <c r="M163" s="15">
        <f t="shared" si="96"/>
        <v>1179302.8</v>
      </c>
      <c r="N163" s="15"/>
      <c r="O163" s="7">
        <f t="shared" si="89"/>
        <v>560814</v>
      </c>
      <c r="P163" s="7">
        <f t="shared" si="90"/>
        <v>1179302.8</v>
      </c>
      <c r="Q163" s="7"/>
      <c r="R163" s="7"/>
      <c r="S163" s="7">
        <f t="shared" si="91"/>
        <v>0</v>
      </c>
      <c r="T163" s="7">
        <f t="shared" si="92"/>
        <v>0</v>
      </c>
      <c r="U163" s="7">
        <f t="shared" si="93"/>
        <v>0</v>
      </c>
      <c r="V163" s="7">
        <f t="shared" si="94"/>
        <v>0</v>
      </c>
      <c r="W163" s="7"/>
      <c r="X163" s="7"/>
      <c r="Y163" s="7"/>
      <c r="Z163" s="71"/>
      <c r="AB163" s="8">
        <v>732000</v>
      </c>
    </row>
    <row r="164" spans="1:29" s="8" customFormat="1" x14ac:dyDescent="0.25">
      <c r="A164" s="6">
        <f t="shared" si="95"/>
        <v>136</v>
      </c>
      <c r="B164" s="14">
        <v>1693</v>
      </c>
      <c r="C164" s="6" t="s">
        <v>602</v>
      </c>
      <c r="D164" s="7">
        <v>4500000</v>
      </c>
      <c r="E164" s="7">
        <v>4500000</v>
      </c>
      <c r="F164" s="7">
        <f t="shared" si="86"/>
        <v>0</v>
      </c>
      <c r="G164" s="7">
        <v>105000</v>
      </c>
      <c r="H164" s="7">
        <v>2000.01</v>
      </c>
      <c r="I164" s="7"/>
      <c r="J164" s="7"/>
      <c r="K164" s="7">
        <f t="shared" si="87"/>
        <v>0</v>
      </c>
      <c r="L164" s="7">
        <f t="shared" si="88"/>
        <v>2000.01</v>
      </c>
      <c r="M164" s="15">
        <f t="shared" si="96"/>
        <v>102999.99</v>
      </c>
      <c r="N164" s="15">
        <v>4395000</v>
      </c>
      <c r="O164" s="7">
        <f t="shared" si="89"/>
        <v>0</v>
      </c>
      <c r="P164" s="7">
        <f t="shared" si="90"/>
        <v>102999.99</v>
      </c>
      <c r="Q164" s="7"/>
      <c r="R164" s="7"/>
      <c r="S164" s="7">
        <f t="shared" si="91"/>
        <v>0</v>
      </c>
      <c r="T164" s="7">
        <f t="shared" si="92"/>
        <v>0</v>
      </c>
      <c r="U164" s="7">
        <f t="shared" si="93"/>
        <v>4395000</v>
      </c>
      <c r="V164" s="7">
        <f t="shared" si="94"/>
        <v>329625</v>
      </c>
      <c r="W164" s="7"/>
      <c r="X164" s="7"/>
      <c r="Y164" s="7">
        <f>U164*0.925</f>
        <v>4065375</v>
      </c>
      <c r="Z164" s="71"/>
      <c r="AB164" s="8">
        <v>732000</v>
      </c>
    </row>
    <row r="165" spans="1:29" s="8" customFormat="1" x14ac:dyDescent="0.25">
      <c r="A165" s="6">
        <f t="shared" si="95"/>
        <v>137</v>
      </c>
      <c r="B165" s="14">
        <v>1749</v>
      </c>
      <c r="C165" s="6" t="s">
        <v>595</v>
      </c>
      <c r="D165" s="7">
        <v>5000000</v>
      </c>
      <c r="E165" s="7">
        <v>5000000</v>
      </c>
      <c r="F165" s="7">
        <f t="shared" si="86"/>
        <v>0</v>
      </c>
      <c r="G165" s="7">
        <v>100000</v>
      </c>
      <c r="H165" s="7">
        <v>0</v>
      </c>
      <c r="I165" s="7"/>
      <c r="J165" s="7"/>
      <c r="K165" s="7">
        <f t="shared" si="87"/>
        <v>0</v>
      </c>
      <c r="L165" s="7">
        <f t="shared" si="88"/>
        <v>0</v>
      </c>
      <c r="M165" s="15">
        <f t="shared" si="96"/>
        <v>500000</v>
      </c>
      <c r="N165" s="15"/>
      <c r="O165" s="7">
        <f t="shared" si="89"/>
        <v>4500000</v>
      </c>
      <c r="P165" s="7">
        <f t="shared" si="90"/>
        <v>100000</v>
      </c>
      <c r="Q165" s="7">
        <f>50000+350000</f>
        <v>400000</v>
      </c>
      <c r="R165" s="7"/>
      <c r="S165" s="7">
        <f t="shared" si="91"/>
        <v>400000</v>
      </c>
      <c r="T165" s="7">
        <f t="shared" si="92"/>
        <v>0</v>
      </c>
      <c r="U165" s="7">
        <f t="shared" si="93"/>
        <v>0</v>
      </c>
      <c r="V165" s="7">
        <f t="shared" si="94"/>
        <v>0</v>
      </c>
      <c r="W165" s="7"/>
      <c r="X165" s="7"/>
      <c r="Y165" s="6"/>
      <c r="Z165" s="71"/>
      <c r="AB165" s="8">
        <v>732000</v>
      </c>
    </row>
    <row r="166" spans="1:29" s="8" customFormat="1" x14ac:dyDescent="0.25">
      <c r="A166" s="6">
        <f t="shared" si="95"/>
        <v>138</v>
      </c>
      <c r="B166" s="14">
        <v>1750</v>
      </c>
      <c r="C166" s="14" t="s">
        <v>596</v>
      </c>
      <c r="D166" s="7">
        <v>5000000</v>
      </c>
      <c r="E166" s="7">
        <v>5000000</v>
      </c>
      <c r="F166" s="7">
        <f t="shared" si="86"/>
        <v>0</v>
      </c>
      <c r="G166" s="7">
        <v>100000</v>
      </c>
      <c r="H166" s="7">
        <v>0</v>
      </c>
      <c r="I166" s="7"/>
      <c r="J166" s="7"/>
      <c r="K166" s="7">
        <f t="shared" si="87"/>
        <v>0</v>
      </c>
      <c r="L166" s="7">
        <f t="shared" si="88"/>
        <v>0</v>
      </c>
      <c r="M166" s="15">
        <f t="shared" si="96"/>
        <v>500000</v>
      </c>
      <c r="N166" s="15"/>
      <c r="O166" s="7">
        <f t="shared" si="89"/>
        <v>4500000</v>
      </c>
      <c r="P166" s="7">
        <f t="shared" si="90"/>
        <v>100000</v>
      </c>
      <c r="Q166" s="7">
        <f>50000+350000</f>
        <v>400000</v>
      </c>
      <c r="R166" s="7"/>
      <c r="S166" s="7">
        <f t="shared" si="91"/>
        <v>400000</v>
      </c>
      <c r="T166" s="7">
        <f t="shared" si="92"/>
        <v>0</v>
      </c>
      <c r="U166" s="7">
        <f t="shared" si="93"/>
        <v>0</v>
      </c>
      <c r="V166" s="7">
        <f t="shared" si="94"/>
        <v>0</v>
      </c>
      <c r="W166" s="7"/>
      <c r="X166" s="7"/>
      <c r="Y166" s="6"/>
      <c r="Z166" s="71"/>
      <c r="AB166" s="8">
        <v>732000</v>
      </c>
    </row>
    <row r="167" spans="1:29" s="8" customFormat="1" x14ac:dyDescent="0.25">
      <c r="A167" s="6">
        <f t="shared" si="95"/>
        <v>139</v>
      </c>
      <c r="B167" s="14">
        <v>1756</v>
      </c>
      <c r="C167" s="6" t="s">
        <v>37</v>
      </c>
      <c r="D167" s="7">
        <v>500000</v>
      </c>
      <c r="E167" s="7">
        <v>500000</v>
      </c>
      <c r="F167" s="7">
        <f t="shared" si="86"/>
        <v>0</v>
      </c>
      <c r="G167" s="7">
        <v>200000</v>
      </c>
      <c r="H167" s="7">
        <v>0</v>
      </c>
      <c r="I167" s="7">
        <v>44604</v>
      </c>
      <c r="J167" s="7"/>
      <c r="K167" s="7">
        <f t="shared" si="87"/>
        <v>44604</v>
      </c>
      <c r="L167" s="7">
        <f t="shared" si="88"/>
        <v>44604</v>
      </c>
      <c r="M167" s="15">
        <f t="shared" si="96"/>
        <v>155396</v>
      </c>
      <c r="N167" s="15">
        <v>200000</v>
      </c>
      <c r="O167" s="7">
        <f t="shared" si="89"/>
        <v>100000</v>
      </c>
      <c r="P167" s="7">
        <f t="shared" si="90"/>
        <v>155396</v>
      </c>
      <c r="Q167" s="7"/>
      <c r="R167" s="7"/>
      <c r="S167" s="7">
        <f t="shared" si="91"/>
        <v>0</v>
      </c>
      <c r="T167" s="7">
        <f t="shared" si="92"/>
        <v>0</v>
      </c>
      <c r="U167" s="7">
        <f t="shared" si="93"/>
        <v>200000</v>
      </c>
      <c r="V167" s="7">
        <f t="shared" si="94"/>
        <v>200000</v>
      </c>
      <c r="W167" s="7"/>
      <c r="X167" s="7"/>
      <c r="Y167" s="7"/>
      <c r="Z167" s="71"/>
      <c r="AB167" s="8">
        <v>732000</v>
      </c>
    </row>
    <row r="168" spans="1:29" s="8" customFormat="1" x14ac:dyDescent="0.25">
      <c r="A168" s="6">
        <f t="shared" si="95"/>
        <v>140</v>
      </c>
      <c r="B168" s="14">
        <v>1757</v>
      </c>
      <c r="C168" s="14" t="s">
        <v>38</v>
      </c>
      <c r="D168" s="7">
        <v>300000</v>
      </c>
      <c r="E168" s="7">
        <v>200000</v>
      </c>
      <c r="F168" s="7">
        <f t="shared" si="86"/>
        <v>100000</v>
      </c>
      <c r="G168" s="7">
        <v>200000</v>
      </c>
      <c r="H168" s="7">
        <v>0</v>
      </c>
      <c r="I168" s="7"/>
      <c r="J168" s="7"/>
      <c r="K168" s="7">
        <f t="shared" si="87"/>
        <v>0</v>
      </c>
      <c r="L168" s="7">
        <f t="shared" si="88"/>
        <v>0</v>
      </c>
      <c r="M168" s="15">
        <f t="shared" si="96"/>
        <v>200000</v>
      </c>
      <c r="N168" s="15">
        <v>100000</v>
      </c>
      <c r="O168" s="7">
        <f t="shared" si="89"/>
        <v>0</v>
      </c>
      <c r="P168" s="7">
        <f t="shared" si="90"/>
        <v>200000</v>
      </c>
      <c r="Q168" s="7"/>
      <c r="R168" s="7"/>
      <c r="S168" s="7">
        <f t="shared" si="91"/>
        <v>0</v>
      </c>
      <c r="T168" s="7">
        <f t="shared" si="92"/>
        <v>0</v>
      </c>
      <c r="U168" s="7">
        <f t="shared" si="93"/>
        <v>100000</v>
      </c>
      <c r="V168" s="7">
        <f t="shared" si="94"/>
        <v>100000</v>
      </c>
      <c r="W168" s="7"/>
      <c r="X168" s="7"/>
      <c r="Y168" s="7"/>
      <c r="Z168" s="71"/>
      <c r="AB168" s="8">
        <v>732000</v>
      </c>
    </row>
    <row r="169" spans="1:29" s="8" customFormat="1" x14ac:dyDescent="0.25">
      <c r="A169" s="6">
        <f t="shared" si="95"/>
        <v>141</v>
      </c>
      <c r="B169" s="14">
        <v>1758</v>
      </c>
      <c r="C169" s="14" t="s">
        <v>319</v>
      </c>
      <c r="D169" s="7">
        <v>300000</v>
      </c>
      <c r="E169" s="7">
        <v>200000</v>
      </c>
      <c r="F169" s="7">
        <f t="shared" si="86"/>
        <v>100000</v>
      </c>
      <c r="G169" s="7">
        <v>200000</v>
      </c>
      <c r="H169" s="7">
        <v>0</v>
      </c>
      <c r="I169" s="7"/>
      <c r="J169" s="7"/>
      <c r="K169" s="7">
        <f t="shared" si="87"/>
        <v>0</v>
      </c>
      <c r="L169" s="7">
        <f t="shared" si="88"/>
        <v>0</v>
      </c>
      <c r="M169" s="15">
        <f t="shared" si="96"/>
        <v>200000</v>
      </c>
      <c r="N169" s="15">
        <v>100000</v>
      </c>
      <c r="O169" s="7">
        <f t="shared" si="89"/>
        <v>0</v>
      </c>
      <c r="P169" s="7">
        <f t="shared" si="90"/>
        <v>200000</v>
      </c>
      <c r="Q169" s="7"/>
      <c r="R169" s="7"/>
      <c r="S169" s="7">
        <f t="shared" si="91"/>
        <v>0</v>
      </c>
      <c r="T169" s="7">
        <f t="shared" si="92"/>
        <v>0</v>
      </c>
      <c r="U169" s="7">
        <f t="shared" si="93"/>
        <v>100000</v>
      </c>
      <c r="V169" s="7">
        <f t="shared" si="94"/>
        <v>100000</v>
      </c>
      <c r="W169" s="7"/>
      <c r="X169" s="7"/>
      <c r="Y169" s="7"/>
      <c r="Z169" s="71"/>
      <c r="AB169" s="8">
        <v>732000</v>
      </c>
    </row>
    <row r="170" spans="1:29" s="8" customFormat="1" x14ac:dyDescent="0.25">
      <c r="A170" s="6">
        <f t="shared" si="95"/>
        <v>142</v>
      </c>
      <c r="B170" s="14">
        <v>1759</v>
      </c>
      <c r="C170" s="14" t="s">
        <v>39</v>
      </c>
      <c r="D170" s="7">
        <v>600000</v>
      </c>
      <c r="E170" s="7">
        <v>600000</v>
      </c>
      <c r="F170" s="7">
        <f t="shared" si="86"/>
        <v>0</v>
      </c>
      <c r="G170" s="7">
        <v>500000</v>
      </c>
      <c r="H170" s="7">
        <v>249405</v>
      </c>
      <c r="I170" s="7">
        <v>90506</v>
      </c>
      <c r="J170" s="234">
        <v>159465</v>
      </c>
      <c r="K170" s="7">
        <f t="shared" si="87"/>
        <v>249971</v>
      </c>
      <c r="L170" s="7">
        <f t="shared" si="88"/>
        <v>499376</v>
      </c>
      <c r="M170" s="15">
        <f t="shared" si="96"/>
        <v>624</v>
      </c>
      <c r="N170" s="15"/>
      <c r="O170" s="7">
        <f t="shared" si="89"/>
        <v>100000</v>
      </c>
      <c r="P170" s="7">
        <f t="shared" si="90"/>
        <v>624</v>
      </c>
      <c r="Q170" s="7"/>
      <c r="R170" s="7"/>
      <c r="S170" s="7">
        <f t="shared" si="91"/>
        <v>0</v>
      </c>
      <c r="T170" s="7">
        <f t="shared" si="92"/>
        <v>0</v>
      </c>
      <c r="U170" s="7">
        <f t="shared" si="93"/>
        <v>0</v>
      </c>
      <c r="V170" s="7">
        <f t="shared" si="94"/>
        <v>0</v>
      </c>
      <c r="W170" s="7"/>
      <c r="X170" s="7"/>
      <c r="Y170" s="6"/>
      <c r="Z170" s="71"/>
      <c r="AB170" s="8">
        <v>732000</v>
      </c>
    </row>
    <row r="171" spans="1:29" s="8" customFormat="1" ht="27.6" x14ac:dyDescent="0.25">
      <c r="A171" s="6">
        <f t="shared" si="95"/>
        <v>143</v>
      </c>
      <c r="B171" s="14">
        <v>1761</v>
      </c>
      <c r="C171" s="14" t="s">
        <v>597</v>
      </c>
      <c r="D171" s="7">
        <v>400000</v>
      </c>
      <c r="E171" s="7">
        <v>400000</v>
      </c>
      <c r="F171" s="7">
        <f t="shared" si="86"/>
        <v>0</v>
      </c>
      <c r="G171" s="7">
        <v>50000</v>
      </c>
      <c r="H171" s="7">
        <v>0</v>
      </c>
      <c r="I171" s="7"/>
      <c r="J171" s="7"/>
      <c r="K171" s="7">
        <f t="shared" si="87"/>
        <v>0</v>
      </c>
      <c r="L171" s="7">
        <f t="shared" si="88"/>
        <v>0</v>
      </c>
      <c r="M171" s="15">
        <f t="shared" si="96"/>
        <v>150000</v>
      </c>
      <c r="N171" s="15"/>
      <c r="O171" s="7">
        <f t="shared" si="89"/>
        <v>250000</v>
      </c>
      <c r="P171" s="7">
        <f t="shared" si="90"/>
        <v>50000</v>
      </c>
      <c r="Q171" s="7">
        <v>100000</v>
      </c>
      <c r="R171" s="7"/>
      <c r="S171" s="7">
        <f t="shared" si="91"/>
        <v>100000</v>
      </c>
      <c r="T171" s="7">
        <f t="shared" si="92"/>
        <v>0</v>
      </c>
      <c r="U171" s="7">
        <f t="shared" si="93"/>
        <v>0</v>
      </c>
      <c r="V171" s="7">
        <f t="shared" si="94"/>
        <v>0</v>
      </c>
      <c r="W171" s="7"/>
      <c r="X171" s="7"/>
      <c r="Y171" s="6"/>
      <c r="Z171" s="71"/>
      <c r="AB171" s="8">
        <v>732000</v>
      </c>
    </row>
    <row r="172" spans="1:29" s="8" customFormat="1" x14ac:dyDescent="0.25">
      <c r="A172" s="6">
        <f t="shared" si="95"/>
        <v>144</v>
      </c>
      <c r="B172" s="14">
        <v>1811</v>
      </c>
      <c r="C172" s="14" t="s">
        <v>353</v>
      </c>
      <c r="D172" s="7">
        <f>600000-350000</f>
        <v>250000</v>
      </c>
      <c r="E172" s="7">
        <v>250000</v>
      </c>
      <c r="F172" s="7">
        <f t="shared" si="86"/>
        <v>0</v>
      </c>
      <c r="G172" s="7">
        <v>0</v>
      </c>
      <c r="H172" s="7">
        <v>0</v>
      </c>
      <c r="I172" s="7"/>
      <c r="J172" s="7"/>
      <c r="K172" s="7">
        <f t="shared" si="87"/>
        <v>0</v>
      </c>
      <c r="L172" s="7">
        <f t="shared" si="88"/>
        <v>0</v>
      </c>
      <c r="M172" s="15">
        <f t="shared" si="96"/>
        <v>250000</v>
      </c>
      <c r="N172" s="15"/>
      <c r="O172" s="7">
        <f t="shared" si="89"/>
        <v>0</v>
      </c>
      <c r="P172" s="7">
        <f t="shared" si="90"/>
        <v>0</v>
      </c>
      <c r="Q172" s="7"/>
      <c r="R172" s="7">
        <v>250000</v>
      </c>
      <c r="S172" s="7">
        <f t="shared" si="91"/>
        <v>250000</v>
      </c>
      <c r="T172" s="7">
        <f t="shared" si="92"/>
        <v>0</v>
      </c>
      <c r="U172" s="7">
        <f t="shared" si="93"/>
        <v>0</v>
      </c>
      <c r="V172" s="7">
        <f t="shared" si="94"/>
        <v>0</v>
      </c>
      <c r="W172" s="7"/>
      <c r="X172" s="7"/>
      <c r="Y172" s="7"/>
      <c r="Z172" s="71"/>
      <c r="AB172" s="8">
        <v>732000</v>
      </c>
    </row>
    <row r="173" spans="1:29" s="8" customFormat="1" x14ac:dyDescent="0.25">
      <c r="A173" s="6">
        <f t="shared" si="95"/>
        <v>145</v>
      </c>
      <c r="B173" s="14">
        <v>1843</v>
      </c>
      <c r="C173" s="14" t="s">
        <v>438</v>
      </c>
      <c r="D173" s="7">
        <v>70000</v>
      </c>
      <c r="E173" s="7"/>
      <c r="F173" s="7">
        <f t="shared" si="86"/>
        <v>70000</v>
      </c>
      <c r="G173" s="7"/>
      <c r="H173" s="7"/>
      <c r="I173" s="7"/>
      <c r="J173" s="7"/>
      <c r="K173" s="7"/>
      <c r="L173" s="7"/>
      <c r="M173" s="15"/>
      <c r="N173" s="15">
        <v>70000</v>
      </c>
      <c r="O173" s="7">
        <f t="shared" si="89"/>
        <v>0</v>
      </c>
      <c r="P173" s="7"/>
      <c r="Q173" s="7"/>
      <c r="R173" s="7"/>
      <c r="S173" s="7"/>
      <c r="T173" s="7"/>
      <c r="U173" s="7">
        <f t="shared" si="93"/>
        <v>70000</v>
      </c>
      <c r="V173" s="7">
        <f t="shared" si="94"/>
        <v>70000</v>
      </c>
      <c r="W173" s="7"/>
      <c r="X173" s="7"/>
      <c r="Y173" s="7"/>
      <c r="Z173" s="71"/>
      <c r="AB173" s="8">
        <v>732000</v>
      </c>
    </row>
    <row r="174" spans="1:29" s="8" customFormat="1" x14ac:dyDescent="0.25">
      <c r="A174" s="6">
        <f t="shared" si="95"/>
        <v>146</v>
      </c>
      <c r="B174" s="14">
        <v>1844</v>
      </c>
      <c r="C174" s="105" t="s">
        <v>439</v>
      </c>
      <c r="D174" s="106">
        <v>70000</v>
      </c>
      <c r="E174" s="106"/>
      <c r="F174" s="106">
        <f t="shared" si="86"/>
        <v>70000</v>
      </c>
      <c r="G174" s="106"/>
      <c r="H174" s="106"/>
      <c r="I174" s="106"/>
      <c r="J174" s="106"/>
      <c r="K174" s="106"/>
      <c r="L174" s="106"/>
      <c r="M174" s="98"/>
      <c r="N174" s="98">
        <v>70000</v>
      </c>
      <c r="O174" s="106">
        <f t="shared" si="89"/>
        <v>0</v>
      </c>
      <c r="P174" s="106"/>
      <c r="Q174" s="106"/>
      <c r="R174" s="106"/>
      <c r="S174" s="106"/>
      <c r="T174" s="106"/>
      <c r="U174" s="106">
        <f t="shared" si="93"/>
        <v>70000</v>
      </c>
      <c r="V174" s="106">
        <f t="shared" si="94"/>
        <v>70000</v>
      </c>
      <c r="W174" s="106"/>
      <c r="X174" s="106"/>
      <c r="Y174" s="106"/>
      <c r="Z174" s="71"/>
      <c r="AB174" s="8">
        <v>732000</v>
      </c>
    </row>
    <row r="175" spans="1:29" s="109" customFormat="1" x14ac:dyDescent="0.25">
      <c r="A175" s="3"/>
      <c r="B175" s="22"/>
      <c r="C175" s="3" t="s">
        <v>395</v>
      </c>
      <c r="D175" s="89">
        <f t="shared" ref="D175:AA175" si="97">SUM(D156:D174)</f>
        <v>31040000</v>
      </c>
      <c r="E175" s="89">
        <f t="shared" si="97"/>
        <v>29900000</v>
      </c>
      <c r="F175" s="89">
        <f t="shared" si="97"/>
        <v>1140000</v>
      </c>
      <c r="G175" s="89">
        <f t="shared" si="97"/>
        <v>11894186</v>
      </c>
      <c r="H175" s="89">
        <f t="shared" si="97"/>
        <v>4315480.6500000004</v>
      </c>
      <c r="I175" s="89">
        <f t="shared" si="97"/>
        <v>1469323.48</v>
      </c>
      <c r="J175" s="89">
        <f t="shared" si="97"/>
        <v>1376239.7799999998</v>
      </c>
      <c r="K175" s="89">
        <f t="shared" si="97"/>
        <v>2845563.26</v>
      </c>
      <c r="L175" s="89">
        <f t="shared" si="97"/>
        <v>7161043.9100000001</v>
      </c>
      <c r="M175" s="94">
        <f t="shared" si="97"/>
        <v>6045198.0899999999</v>
      </c>
      <c r="N175" s="89">
        <f t="shared" si="97"/>
        <v>5872944</v>
      </c>
      <c r="O175" s="89">
        <f t="shared" si="97"/>
        <v>11960814</v>
      </c>
      <c r="P175" s="89">
        <f t="shared" si="97"/>
        <v>4733142.09</v>
      </c>
      <c r="Q175" s="89">
        <f t="shared" si="97"/>
        <v>1100000</v>
      </c>
      <c r="R175" s="89">
        <f t="shared" si="97"/>
        <v>250000</v>
      </c>
      <c r="S175" s="89">
        <f t="shared" si="97"/>
        <v>1350000</v>
      </c>
      <c r="T175" s="89">
        <f t="shared" si="97"/>
        <v>37944</v>
      </c>
      <c r="U175" s="89">
        <f t="shared" si="97"/>
        <v>5835000</v>
      </c>
      <c r="V175" s="89">
        <f t="shared" si="97"/>
        <v>1807569</v>
      </c>
      <c r="W175" s="89">
        <f t="shared" si="97"/>
        <v>0</v>
      </c>
      <c r="X175" s="89">
        <f t="shared" si="97"/>
        <v>0</v>
      </c>
      <c r="Y175" s="89">
        <f t="shared" si="97"/>
        <v>4027431</v>
      </c>
      <c r="Z175" s="89">
        <f t="shared" si="97"/>
        <v>0</v>
      </c>
      <c r="AA175" s="110">
        <f t="shared" si="97"/>
        <v>0</v>
      </c>
      <c r="AB175" s="110"/>
      <c r="AC175" s="110">
        <f>SUM(AC156:AC174)</f>
        <v>0</v>
      </c>
    </row>
    <row r="176" spans="1:29" s="109" customFormat="1" x14ac:dyDescent="0.25">
      <c r="A176" s="3"/>
      <c r="B176" s="22"/>
      <c r="C176" s="3"/>
      <c r="D176" s="89"/>
      <c r="E176" s="89"/>
      <c r="F176" s="89"/>
      <c r="G176" s="89"/>
      <c r="H176" s="89"/>
      <c r="I176" s="89"/>
      <c r="J176" s="89"/>
      <c r="K176" s="89"/>
      <c r="L176" s="89"/>
      <c r="M176" s="94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7" s="109" customFormat="1" x14ac:dyDescent="0.25">
      <c r="A177" s="3">
        <f>A174</f>
        <v>146</v>
      </c>
      <c r="B177" s="94">
        <f>B16+B23+B78+B103+B153+B175</f>
        <v>0</v>
      </c>
      <c r="C177" s="3" t="s">
        <v>601</v>
      </c>
      <c r="D177" s="89">
        <f t="shared" ref="D177:Y177" si="98">D16+D23+D27+D78+D103+D127+D153+D175</f>
        <v>1288787085</v>
      </c>
      <c r="E177" s="89">
        <f t="shared" si="98"/>
        <v>1063482761</v>
      </c>
      <c r="F177" s="89">
        <f t="shared" si="98"/>
        <v>225504324</v>
      </c>
      <c r="G177" s="89">
        <f t="shared" si="98"/>
        <v>423965833</v>
      </c>
      <c r="H177" s="89">
        <f t="shared" si="98"/>
        <v>329592752.12999994</v>
      </c>
      <c r="I177" s="89">
        <f t="shared" si="98"/>
        <v>20705612.099999998</v>
      </c>
      <c r="J177" s="89">
        <f t="shared" si="98"/>
        <v>18076100.210000001</v>
      </c>
      <c r="K177" s="89">
        <f t="shared" si="98"/>
        <v>38781712.309999995</v>
      </c>
      <c r="L177" s="89">
        <f t="shared" si="98"/>
        <v>368374464.44</v>
      </c>
      <c r="M177" s="94">
        <f t="shared" si="98"/>
        <v>89352126.560000002</v>
      </c>
      <c r="N177" s="89">
        <f t="shared" si="98"/>
        <v>196440504</v>
      </c>
      <c r="O177" s="89">
        <f t="shared" si="98"/>
        <v>634619990</v>
      </c>
      <c r="P177" s="89">
        <f t="shared" si="98"/>
        <v>55591368.559999987</v>
      </c>
      <c r="Q177" s="89">
        <f t="shared" si="98"/>
        <v>19750000</v>
      </c>
      <c r="R177" s="89">
        <f t="shared" si="98"/>
        <v>17123702</v>
      </c>
      <c r="S177" s="89">
        <f t="shared" si="98"/>
        <v>36873702</v>
      </c>
      <c r="T177" s="89">
        <f t="shared" si="98"/>
        <v>3112944</v>
      </c>
      <c r="U177" s="89">
        <f t="shared" si="98"/>
        <v>193327560</v>
      </c>
      <c r="V177" s="89">
        <f t="shared" si="98"/>
        <v>134170125</v>
      </c>
      <c r="W177" s="89">
        <f t="shared" si="98"/>
        <v>100000</v>
      </c>
      <c r="X177" s="89">
        <f t="shared" si="98"/>
        <v>0</v>
      </c>
      <c r="Y177" s="89">
        <f t="shared" si="98"/>
        <v>59057435</v>
      </c>
      <c r="Z177" s="89">
        <f>Z16+Z23+Z78+Z103+Z127+Z153+Z175</f>
        <v>0</v>
      </c>
      <c r="AA177" s="110">
        <f>AA16+AA23+AA78+AA103+AA153+AA175</f>
        <v>0</v>
      </c>
    </row>
    <row r="178" spans="1:27" s="9" customFormat="1" x14ac:dyDescent="0.25">
      <c r="A178" s="88"/>
      <c r="B178" s="225"/>
      <c r="C178" s="88"/>
      <c r="D178" s="108"/>
      <c r="E178" s="108"/>
      <c r="F178" s="108"/>
      <c r="G178" s="108"/>
      <c r="H178" s="108"/>
      <c r="I178" s="108"/>
      <c r="J178" s="108"/>
      <c r="K178" s="108"/>
      <c r="L178" s="108"/>
      <c r="M178" s="18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89"/>
    </row>
    <row r="179" spans="1:27" s="9" customFormat="1" x14ac:dyDescent="0.25">
      <c r="A179" s="3"/>
      <c r="B179" s="22"/>
      <c r="C179" s="88"/>
      <c r="D179" s="89"/>
      <c r="E179" s="89"/>
      <c r="F179" s="89"/>
      <c r="G179" s="89"/>
      <c r="H179" s="89"/>
      <c r="I179" s="89"/>
      <c r="J179" s="89"/>
      <c r="K179" s="89"/>
      <c r="L179" s="89"/>
      <c r="M179" s="94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7" s="99" customFormat="1" ht="15.6" x14ac:dyDescent="0.25">
      <c r="B180" s="118"/>
      <c r="M180" s="118"/>
    </row>
    <row r="181" spans="1:27" hidden="1" x14ac:dyDescent="0.25">
      <c r="C181" s="95"/>
      <c r="O181" s="19" t="s">
        <v>403</v>
      </c>
      <c r="Q181" s="19">
        <v>2950000</v>
      </c>
    </row>
    <row r="182" spans="1:27" hidden="1" x14ac:dyDescent="0.25">
      <c r="O182" s="19" t="s">
        <v>404</v>
      </c>
      <c r="V182" s="19"/>
    </row>
    <row r="183" spans="1:27" hidden="1" x14ac:dyDescent="0.25"/>
    <row r="184" spans="1:27" hidden="1" x14ac:dyDescent="0.25">
      <c r="A184" s="21"/>
      <c r="O184" s="19" t="s">
        <v>406</v>
      </c>
      <c r="Q184" s="19">
        <v>4000000</v>
      </c>
      <c r="U184" s="19"/>
      <c r="V184" s="19"/>
      <c r="W184" s="19"/>
      <c r="X184" s="19"/>
      <c r="Y184" s="19"/>
    </row>
    <row r="185" spans="1:27" hidden="1" x14ac:dyDescent="0.25">
      <c r="A185" s="21"/>
      <c r="C185" s="21" t="s">
        <v>418</v>
      </c>
      <c r="O185" s="19" t="s">
        <v>407</v>
      </c>
      <c r="Q185" s="19">
        <v>6000000</v>
      </c>
    </row>
    <row r="186" spans="1:27" hidden="1" x14ac:dyDescent="0.25">
      <c r="A186" s="21"/>
      <c r="C186" s="21" t="s">
        <v>417</v>
      </c>
      <c r="O186" s="19" t="s">
        <v>408</v>
      </c>
      <c r="Q186" s="19">
        <v>3000000</v>
      </c>
      <c r="V186" s="67"/>
      <c r="Y186" s="67"/>
      <c r="Z186" s="76">
        <f>SUM(V186:Y186)</f>
        <v>0</v>
      </c>
    </row>
    <row r="187" spans="1:27" hidden="1" x14ac:dyDescent="0.25">
      <c r="A187" s="21"/>
      <c r="C187" s="21" t="s">
        <v>419</v>
      </c>
      <c r="O187" s="19" t="s">
        <v>409</v>
      </c>
      <c r="Q187" s="19">
        <v>500000</v>
      </c>
    </row>
    <row r="188" spans="1:27" hidden="1" x14ac:dyDescent="0.25">
      <c r="A188" s="21"/>
      <c r="C188" s="21" t="s">
        <v>420</v>
      </c>
      <c r="O188" s="19" t="s">
        <v>410</v>
      </c>
      <c r="Q188" s="19">
        <v>1000000</v>
      </c>
    </row>
    <row r="189" spans="1:27" hidden="1" x14ac:dyDescent="0.25">
      <c r="A189" s="21"/>
      <c r="C189" s="21" t="s">
        <v>421</v>
      </c>
      <c r="O189" s="19" t="s">
        <v>411</v>
      </c>
      <c r="Q189" s="19">
        <v>400000</v>
      </c>
    </row>
    <row r="190" spans="1:27" hidden="1" x14ac:dyDescent="0.25">
      <c r="A190" s="21"/>
      <c r="C190" s="21" t="s">
        <v>422</v>
      </c>
      <c r="O190" s="19" t="s">
        <v>412</v>
      </c>
      <c r="Q190" s="19">
        <v>800000</v>
      </c>
    </row>
    <row r="191" spans="1:27" hidden="1" x14ac:dyDescent="0.25">
      <c r="A191" s="21"/>
      <c r="C191" s="21" t="s">
        <v>423</v>
      </c>
      <c r="O191" s="19" t="s">
        <v>413</v>
      </c>
      <c r="Q191" s="91">
        <v>100000</v>
      </c>
    </row>
    <row r="192" spans="1:27" hidden="1" x14ac:dyDescent="0.25">
      <c r="A192" s="21"/>
      <c r="C192" s="21" t="s">
        <v>424</v>
      </c>
      <c r="O192" s="19" t="s">
        <v>260</v>
      </c>
      <c r="Q192" s="91">
        <v>200000</v>
      </c>
    </row>
    <row r="193" spans="1:26" hidden="1" x14ac:dyDescent="0.25">
      <c r="A193" s="21"/>
      <c r="O193" s="19" t="s">
        <v>414</v>
      </c>
      <c r="Q193" s="91">
        <v>200000</v>
      </c>
    </row>
    <row r="194" spans="1:26" hidden="1" x14ac:dyDescent="0.25">
      <c r="A194" s="21"/>
      <c r="C194" s="21" t="s">
        <v>425</v>
      </c>
      <c r="O194" s="19" t="s">
        <v>70</v>
      </c>
      <c r="Q194" s="19">
        <v>200000</v>
      </c>
    </row>
    <row r="195" spans="1:26" hidden="1" x14ac:dyDescent="0.25">
      <c r="A195" s="21"/>
      <c r="C195" s="21" t="s">
        <v>426</v>
      </c>
      <c r="O195" s="19" t="s">
        <v>71</v>
      </c>
      <c r="Q195" s="19">
        <v>350000</v>
      </c>
    </row>
    <row r="196" spans="1:26" hidden="1" x14ac:dyDescent="0.25">
      <c r="A196" s="21"/>
      <c r="C196" s="21" t="s">
        <v>427</v>
      </c>
      <c r="O196" s="19" t="s">
        <v>415</v>
      </c>
      <c r="Q196" s="19">
        <v>350000</v>
      </c>
    </row>
    <row r="197" spans="1:26" hidden="1" x14ac:dyDescent="0.25">
      <c r="A197" s="21"/>
      <c r="L197" s="97" t="s">
        <v>440</v>
      </c>
      <c r="O197" s="97" t="s">
        <v>329</v>
      </c>
      <c r="P197" s="97"/>
      <c r="Q197" s="97">
        <v>200000</v>
      </c>
    </row>
    <row r="198" spans="1:26" hidden="1" x14ac:dyDescent="0.25">
      <c r="A198" s="21"/>
      <c r="O198" s="19" t="s">
        <v>416</v>
      </c>
      <c r="Q198" s="19">
        <v>500000</v>
      </c>
    </row>
    <row r="199" spans="1:26" hidden="1" x14ac:dyDescent="0.25">
      <c r="A199" s="21"/>
      <c r="Q199" s="19">
        <f>SUM(Q184:Q198)</f>
        <v>17800000</v>
      </c>
    </row>
    <row r="200" spans="1:26" hidden="1" x14ac:dyDescent="0.25"/>
    <row r="201" spans="1:26" hidden="1" x14ac:dyDescent="0.25">
      <c r="A201" s="21"/>
      <c r="D201" s="21"/>
      <c r="E201" s="21"/>
      <c r="F201" s="21"/>
      <c r="G201" s="21"/>
      <c r="H201" s="21"/>
      <c r="I201" s="21"/>
      <c r="J201" s="21"/>
      <c r="K201" s="21"/>
      <c r="L201" s="21"/>
      <c r="M201" s="95"/>
      <c r="N201" s="21"/>
      <c r="O201" s="21"/>
      <c r="P201" s="21"/>
      <c r="Q201" s="19">
        <f>Q181+Q199</f>
        <v>20750000</v>
      </c>
      <c r="R201" s="21"/>
      <c r="S201" s="21"/>
      <c r="T201" s="21"/>
      <c r="Z201" s="21"/>
    </row>
    <row r="202" spans="1:26" hidden="1" x14ac:dyDescent="0.25"/>
    <row r="203" spans="1:26" hidden="1" x14ac:dyDescent="0.25"/>
    <row r="204" spans="1:26" hidden="1" x14ac:dyDescent="0.25">
      <c r="O204" s="19" t="s">
        <v>433</v>
      </c>
    </row>
    <row r="205" spans="1:26" hidden="1" x14ac:dyDescent="0.25"/>
    <row r="206" spans="1:26" hidden="1" x14ac:dyDescent="0.25">
      <c r="O206" s="19" t="s">
        <v>434</v>
      </c>
      <c r="P206" s="19">
        <v>8300000</v>
      </c>
    </row>
    <row r="207" spans="1:26" x14ac:dyDescent="0.25">
      <c r="L207" s="241"/>
      <c r="U207" s="68">
        <f>SUM(V207:Y207)</f>
        <v>1</v>
      </c>
      <c r="V207" s="67">
        <f>V177/$U$177</f>
        <v>0.69400412957159341</v>
      </c>
      <c r="W207" s="67">
        <f>W177/$U$177</f>
        <v>5.1725682566934584E-4</v>
      </c>
      <c r="Y207" s="67">
        <f>Y177/$U$177</f>
        <v>0.30547861360273726</v>
      </c>
    </row>
    <row r="211" spans="1:27" x14ac:dyDescent="0.25">
      <c r="G211" s="97" t="s">
        <v>635</v>
      </c>
      <c r="H211" s="97" t="s">
        <v>636</v>
      </c>
      <c r="I211" s="97"/>
    </row>
    <row r="212" spans="1:27" x14ac:dyDescent="0.25">
      <c r="G212" s="97"/>
      <c r="H212" s="97" t="s">
        <v>637</v>
      </c>
      <c r="I212" s="97"/>
      <c r="P212" s="19">
        <v>-1300000</v>
      </c>
    </row>
    <row r="213" spans="1:27" hidden="1" x14ac:dyDescent="0.25">
      <c r="O213" s="19" t="s">
        <v>435</v>
      </c>
      <c r="P213" s="19">
        <v>5923702</v>
      </c>
    </row>
    <row r="214" spans="1:27" s="19" customFormat="1" hidden="1" x14ac:dyDescent="0.25">
      <c r="A214" s="20"/>
      <c r="B214" s="95"/>
      <c r="C214" s="21"/>
      <c r="M214" s="91"/>
      <c r="O214" s="19" t="s">
        <v>436</v>
      </c>
      <c r="P214" s="19">
        <v>4200000</v>
      </c>
      <c r="U214" s="21"/>
      <c r="V214" s="21"/>
      <c r="W214" s="21"/>
      <c r="X214" s="21"/>
      <c r="Y214" s="21"/>
      <c r="Z214" s="20"/>
      <c r="AA214" s="21"/>
    </row>
    <row r="215" spans="1:27" s="19" customFormat="1" x14ac:dyDescent="0.25">
      <c r="A215" s="20"/>
      <c r="B215" s="91"/>
      <c r="C215" s="21"/>
      <c r="M215" s="91"/>
      <c r="P215" s="19">
        <f>SUM(P206:P214)</f>
        <v>17123702</v>
      </c>
      <c r="U215" s="21"/>
      <c r="V215" s="21"/>
      <c r="W215" s="21"/>
      <c r="X215" s="21"/>
      <c r="Y215" s="21"/>
      <c r="Z215" s="20"/>
      <c r="AA215" s="21"/>
    </row>
    <row r="217" spans="1:27" x14ac:dyDescent="0.25">
      <c r="P217" s="19" t="s">
        <v>573</v>
      </c>
      <c r="S217" s="19" t="s">
        <v>578</v>
      </c>
    </row>
    <row r="218" spans="1:27" x14ac:dyDescent="0.25">
      <c r="C218" s="19"/>
      <c r="P218" s="102" t="s">
        <v>434</v>
      </c>
      <c r="Q218" s="102">
        <v>2950000</v>
      </c>
      <c r="R218" s="19">
        <f>8300000-1300000</f>
        <v>7000000</v>
      </c>
    </row>
    <row r="219" spans="1:27" x14ac:dyDescent="0.25">
      <c r="P219" s="102" t="s">
        <v>435</v>
      </c>
      <c r="Q219" s="102">
        <v>41900000</v>
      </c>
      <c r="R219" s="19">
        <v>5923702</v>
      </c>
    </row>
    <row r="220" spans="1:27" x14ac:dyDescent="0.25">
      <c r="P220" s="102"/>
      <c r="Q220" s="102">
        <f>SUM(Q218:Q219)</f>
        <v>44850000</v>
      </c>
      <c r="R220" s="19">
        <f>SUM(R218:R219)</f>
        <v>12923702</v>
      </c>
    </row>
    <row r="221" spans="1:27" x14ac:dyDescent="0.25">
      <c r="R221" s="19">
        <v>4200000</v>
      </c>
      <c r="S221" s="19" t="s">
        <v>579</v>
      </c>
    </row>
    <row r="222" spans="1:27" x14ac:dyDescent="0.25">
      <c r="P222" s="6">
        <v>1312</v>
      </c>
      <c r="Q222" s="102">
        <v>15000000</v>
      </c>
      <c r="R222" s="19">
        <f>SUM(R220:R221)</f>
        <v>17123702</v>
      </c>
    </row>
    <row r="223" spans="1:27" x14ac:dyDescent="0.25">
      <c r="P223" s="6">
        <v>1446</v>
      </c>
      <c r="Q223" s="6">
        <v>4000000</v>
      </c>
    </row>
    <row r="224" spans="1:27" x14ac:dyDescent="0.25">
      <c r="P224" s="6">
        <v>1455</v>
      </c>
      <c r="Q224" s="102">
        <v>4100000</v>
      </c>
    </row>
    <row r="225" spans="16:17" x14ac:dyDescent="0.25">
      <c r="P225" s="6">
        <v>1745</v>
      </c>
      <c r="Q225" s="102">
        <v>1800000</v>
      </c>
    </row>
    <row r="226" spans="16:17" x14ac:dyDescent="0.25">
      <c r="P226" s="6">
        <v>1751</v>
      </c>
      <c r="Q226" s="102">
        <v>200000</v>
      </c>
    </row>
    <row r="227" spans="16:17" x14ac:dyDescent="0.25">
      <c r="P227" s="102" t="s">
        <v>575</v>
      </c>
      <c r="Q227" s="102">
        <f>SUM(Q222:Q226)</f>
        <v>25100000</v>
      </c>
    </row>
    <row r="228" spans="16:17" x14ac:dyDescent="0.25">
      <c r="P228" s="102" t="s">
        <v>576</v>
      </c>
      <c r="Q228" s="102">
        <f>Q220-Q227</f>
        <v>19750000</v>
      </c>
    </row>
    <row r="230" spans="16:17" x14ac:dyDescent="0.25">
      <c r="P230" s="19" t="s">
        <v>574</v>
      </c>
      <c r="Q230" s="19" t="e">
        <f>Q228-#REF!</f>
        <v>#REF!</v>
      </c>
    </row>
  </sheetData>
  <sheetProtection algorithmName="SHA-512" hashValue="fDa3AW1ekGbQ7OXhAPC1reiuMFA1Bu3Utsv7R6CdT8lajmxMYVDBU8XhdNhZx6jBZrf1FTFXkoSDj7t2RoQFHg==" saltValue="OTDnSufoIwcoKscIZeuLrQ==" spinCount="100000" sheet="1" formatCells="0" formatColumns="0" formatRows="0" insertColumns="0" insertRows="0" insertHyperlinks="0" deleteColumns="0" deleteRows="0" sort="0" autoFilter="0" pivotTables="0"/>
  <sortState ref="A156:AD176">
    <sortCondition ref="B156:B176"/>
  </sortState>
  <mergeCells count="2">
    <mergeCell ref="A2:Y2"/>
    <mergeCell ref="A3:Y3"/>
  </mergeCells>
  <printOptions horizontalCentered="1"/>
  <pageMargins left="0" right="0" top="0.78740157480314965" bottom="0.78740157480314965" header="0.51181102362204722" footer="0.51181102362204722"/>
  <pageSetup paperSize="9" scale="80" fitToHeight="0" orientation="landscape" r:id="rId1"/>
  <headerFooter alignWithMargins="0">
    <oddFooter>&amp;Cעמוד &amp;P מתוך &amp;N&amp;Rאגף הנדסה
עמוד  25 - 20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showZeros="0" rightToLeft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B1" sqref="AB1:AB1048576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109375" style="21" customWidth="1"/>
    <col min="4" max="4" width="12.6640625" style="19" bestFit="1" customWidth="1"/>
    <col min="5" max="5" width="10" style="19" customWidth="1"/>
    <col min="6" max="6" width="10.5546875" style="19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1.5546875" style="19" customWidth="1"/>
    <col min="14" max="14" width="11.109375" style="19" bestFit="1" customWidth="1"/>
    <col min="15" max="15" width="11.5546875" style="19" customWidth="1"/>
    <col min="16" max="17" width="11.109375" style="19" hidden="1" customWidth="1"/>
    <col min="18" max="19" width="12" style="19" hidden="1" customWidth="1"/>
    <col min="20" max="20" width="8.88671875" style="19" customWidth="1"/>
    <col min="21" max="21" width="11.88671875" style="21" bestFit="1" customWidth="1"/>
    <col min="22" max="23" width="11.88671875" style="21" customWidth="1"/>
    <col min="24" max="24" width="6.6640625" style="21" hidden="1" customWidth="1"/>
    <col min="25" max="25" width="8.6640625" style="21" customWidth="1"/>
    <col min="26" max="26" width="21.109375" style="21" hidden="1" customWidth="1"/>
    <col min="27" max="27" width="26.5546875" style="21" hidden="1" customWidth="1"/>
    <col min="28" max="28" width="7.88671875" style="21" hidden="1" customWidth="1"/>
    <col min="29" max="16384" width="9.109375" style="21"/>
  </cols>
  <sheetData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"/>
    </row>
    <row r="3" spans="1:28" ht="18" x14ac:dyDescent="0.35">
      <c r="A3" s="256" t="s">
        <v>340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5" spans="1:28" s="86" customFormat="1" ht="86.2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359</v>
      </c>
      <c r="N5" s="4" t="s">
        <v>360</v>
      </c>
      <c r="O5" s="4" t="s">
        <v>361</v>
      </c>
      <c r="P5" s="4" t="s">
        <v>12</v>
      </c>
      <c r="Q5" s="4" t="s">
        <v>362</v>
      </c>
      <c r="R5" s="4" t="s">
        <v>363</v>
      </c>
      <c r="S5" s="4" t="s">
        <v>364</v>
      </c>
      <c r="T5" s="4" t="s">
        <v>365</v>
      </c>
      <c r="U5" s="4" t="s">
        <v>366</v>
      </c>
      <c r="V5" s="4" t="s">
        <v>13</v>
      </c>
      <c r="W5" s="4" t="s">
        <v>14</v>
      </c>
      <c r="X5" s="4" t="s">
        <v>15</v>
      </c>
      <c r="Y5" s="4" t="s">
        <v>285</v>
      </c>
      <c r="Z5" s="4" t="s">
        <v>16</v>
      </c>
      <c r="AA5" s="4" t="s">
        <v>17</v>
      </c>
      <c r="AB5" s="4" t="s">
        <v>18</v>
      </c>
    </row>
    <row r="6" spans="1:28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10"/>
      <c r="AA6" s="10"/>
      <c r="AB6" s="10"/>
    </row>
    <row r="7" spans="1:28" s="8" customForma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:O15" si="0">D7-L7-M7-N7</f>
        <v>0</v>
      </c>
      <c r="P7" s="7"/>
      <c r="Q7" s="7"/>
      <c r="R7" s="7"/>
      <c r="S7" s="7"/>
      <c r="T7" s="7"/>
      <c r="U7" s="7">
        <f t="shared" ref="U7" si="1">N7-T7</f>
        <v>0</v>
      </c>
      <c r="V7" s="7"/>
      <c r="W7" s="7"/>
      <c r="X7" s="7"/>
      <c r="Y7" s="6"/>
      <c r="Z7" s="6"/>
      <c r="AA7" s="6"/>
      <c r="AB7" s="6"/>
    </row>
    <row r="8" spans="1:28" s="8" customFormat="1" x14ac:dyDescent="0.25">
      <c r="A8" s="6">
        <f>A7+1</f>
        <v>1</v>
      </c>
      <c r="B8" s="6">
        <v>499</v>
      </c>
      <c r="C8" s="6" t="s">
        <v>196</v>
      </c>
      <c r="D8" s="7">
        <v>1810000</v>
      </c>
      <c r="E8" s="7">
        <v>1810000</v>
      </c>
      <c r="F8" s="7">
        <f t="shared" ref="F8:F15" si="2">D8-E8</f>
        <v>0</v>
      </c>
      <c r="G8" s="7">
        <v>1675000</v>
      </c>
      <c r="H8" s="7">
        <v>1668941.2</v>
      </c>
      <c r="I8" s="7"/>
      <c r="J8" s="7"/>
      <c r="K8" s="7">
        <f t="shared" ref="K8:K15" si="3">SUM(I8:J8)</f>
        <v>0</v>
      </c>
      <c r="L8" s="7">
        <f t="shared" ref="L8:L15" si="4">H8+K8</f>
        <v>1668941.2</v>
      </c>
      <c r="M8" s="7">
        <f t="shared" ref="M8:M15" si="5">P8+S8</f>
        <v>6058.8000000000466</v>
      </c>
      <c r="N8" s="7"/>
      <c r="O8" s="7">
        <f t="shared" si="0"/>
        <v>135000</v>
      </c>
      <c r="P8" s="7">
        <f t="shared" ref="P8:P15" si="6">G8-L8</f>
        <v>6058.8000000000466</v>
      </c>
      <c r="Q8" s="7"/>
      <c r="R8" s="7"/>
      <c r="S8" s="7">
        <f t="shared" ref="S8:S15" si="7">SUM(Q8:R8)</f>
        <v>0</v>
      </c>
      <c r="T8" s="7">
        <f t="shared" ref="T8:T15" si="8">P8-M8+S8</f>
        <v>0</v>
      </c>
      <c r="U8" s="7">
        <f t="shared" ref="U8:U15" si="9">N8-T8</f>
        <v>0</v>
      </c>
      <c r="V8" s="7">
        <f t="shared" ref="V8:V15" si="10">U8-W8-X8-Y8</f>
        <v>0</v>
      </c>
      <c r="W8" s="7"/>
      <c r="X8" s="7"/>
      <c r="Y8" s="6"/>
      <c r="Z8" s="6"/>
      <c r="AA8" s="6"/>
      <c r="AB8" s="6">
        <v>760000</v>
      </c>
    </row>
    <row r="9" spans="1:28" s="8" customFormat="1" x14ac:dyDescent="0.25">
      <c r="A9" s="6">
        <f t="shared" ref="A9:A15" si="11">A8+1</f>
        <v>2</v>
      </c>
      <c r="B9" s="6">
        <v>1259</v>
      </c>
      <c r="C9" s="6" t="s">
        <v>197</v>
      </c>
      <c r="D9" s="7">
        <f>2260000+2000000</f>
        <v>4260000</v>
      </c>
      <c r="E9" s="7">
        <v>2260000</v>
      </c>
      <c r="F9" s="7">
        <f t="shared" si="2"/>
        <v>2000000</v>
      </c>
      <c r="G9" s="7">
        <v>1910000</v>
      </c>
      <c r="H9" s="7">
        <v>1704760.08</v>
      </c>
      <c r="I9" s="7"/>
      <c r="J9" s="7">
        <v>167483.12</v>
      </c>
      <c r="K9" s="7">
        <f t="shared" si="3"/>
        <v>167483.12</v>
      </c>
      <c r="L9" s="7">
        <f t="shared" si="4"/>
        <v>1872243.2000000002</v>
      </c>
      <c r="M9" s="7">
        <f t="shared" si="5"/>
        <v>37756.799999999814</v>
      </c>
      <c r="N9" s="7">
        <v>2350000</v>
      </c>
      <c r="O9" s="7">
        <f t="shared" si="0"/>
        <v>0</v>
      </c>
      <c r="P9" s="7">
        <f t="shared" si="6"/>
        <v>37756.799999999814</v>
      </c>
      <c r="Q9" s="7"/>
      <c r="R9" s="7"/>
      <c r="S9" s="7">
        <f t="shared" si="7"/>
        <v>0</v>
      </c>
      <c r="T9" s="7">
        <f t="shared" si="8"/>
        <v>0</v>
      </c>
      <c r="U9" s="7">
        <f t="shared" si="9"/>
        <v>2350000</v>
      </c>
      <c r="V9" s="7">
        <f t="shared" si="10"/>
        <v>2350000</v>
      </c>
      <c r="W9" s="7"/>
      <c r="X9" s="7"/>
      <c r="Y9" s="6"/>
      <c r="Z9" s="6"/>
      <c r="AA9" s="6"/>
      <c r="AB9" s="6">
        <v>760000</v>
      </c>
    </row>
    <row r="10" spans="1:28" s="8" customFormat="1" x14ac:dyDescent="0.25">
      <c r="A10" s="6">
        <f t="shared" si="11"/>
        <v>3</v>
      </c>
      <c r="B10" s="6">
        <v>1260</v>
      </c>
      <c r="C10" s="6" t="s">
        <v>198</v>
      </c>
      <c r="D10" s="7">
        <v>7608000</v>
      </c>
      <c r="E10" s="7">
        <v>6608000</v>
      </c>
      <c r="F10" s="7">
        <f t="shared" si="2"/>
        <v>1000000</v>
      </c>
      <c r="G10" s="7">
        <v>6608000</v>
      </c>
      <c r="H10" s="7">
        <v>6160228.7400000002</v>
      </c>
      <c r="I10" s="7"/>
      <c r="J10" s="7">
        <v>333762.09999999998</v>
      </c>
      <c r="K10" s="7">
        <f t="shared" si="3"/>
        <v>333762.09999999998</v>
      </c>
      <c r="L10" s="7">
        <f t="shared" si="4"/>
        <v>6493990.8399999999</v>
      </c>
      <c r="M10" s="7">
        <f t="shared" si="5"/>
        <v>114009.16000000015</v>
      </c>
      <c r="N10" s="7">
        <v>1000000</v>
      </c>
      <c r="O10" s="7">
        <f t="shared" si="0"/>
        <v>0</v>
      </c>
      <c r="P10" s="7">
        <f t="shared" si="6"/>
        <v>114009.16000000015</v>
      </c>
      <c r="Q10" s="7"/>
      <c r="R10" s="7"/>
      <c r="S10" s="7">
        <f t="shared" si="7"/>
        <v>0</v>
      </c>
      <c r="T10" s="7">
        <f t="shared" si="8"/>
        <v>0</v>
      </c>
      <c r="U10" s="7">
        <f t="shared" si="9"/>
        <v>1000000</v>
      </c>
      <c r="V10" s="7">
        <f t="shared" si="10"/>
        <v>500000</v>
      </c>
      <c r="W10" s="7">
        <f>U10*0.5</f>
        <v>500000</v>
      </c>
      <c r="X10" s="7"/>
      <c r="Y10" s="6"/>
      <c r="Z10" s="6"/>
      <c r="AA10" s="6"/>
      <c r="AB10" s="6">
        <v>760000</v>
      </c>
    </row>
    <row r="11" spans="1:28" s="8" customFormat="1" x14ac:dyDescent="0.25">
      <c r="A11" s="6">
        <f t="shared" si="11"/>
        <v>4</v>
      </c>
      <c r="B11" s="6">
        <v>1422</v>
      </c>
      <c r="C11" s="6" t="s">
        <v>199</v>
      </c>
      <c r="D11" s="7">
        <v>30257000</v>
      </c>
      <c r="E11" s="7">
        <v>30257000</v>
      </c>
      <c r="F11" s="7">
        <f t="shared" si="2"/>
        <v>0</v>
      </c>
      <c r="G11" s="7">
        <v>7257000</v>
      </c>
      <c r="H11" s="7">
        <v>7257000</v>
      </c>
      <c r="I11" s="7"/>
      <c r="J11" s="7"/>
      <c r="K11" s="7">
        <f t="shared" si="3"/>
        <v>0</v>
      </c>
      <c r="L11" s="7">
        <f t="shared" si="4"/>
        <v>7257000</v>
      </c>
      <c r="M11" s="7">
        <f t="shared" si="5"/>
        <v>0</v>
      </c>
      <c r="N11" s="7"/>
      <c r="O11" s="7">
        <f t="shared" si="0"/>
        <v>23000000</v>
      </c>
      <c r="P11" s="7">
        <f t="shared" si="6"/>
        <v>0</v>
      </c>
      <c r="Q11" s="7"/>
      <c r="R11" s="7"/>
      <c r="S11" s="7">
        <f t="shared" si="7"/>
        <v>0</v>
      </c>
      <c r="T11" s="7">
        <f t="shared" si="8"/>
        <v>0</v>
      </c>
      <c r="U11" s="7">
        <f t="shared" si="9"/>
        <v>0</v>
      </c>
      <c r="V11" s="7">
        <f t="shared" si="10"/>
        <v>0</v>
      </c>
      <c r="W11" s="7"/>
      <c r="X11" s="7"/>
      <c r="Y11" s="6"/>
      <c r="Z11" s="6"/>
      <c r="AA11" s="6"/>
      <c r="AB11" s="6">
        <v>730000</v>
      </c>
    </row>
    <row r="12" spans="1:28" s="8" customFormat="1" x14ac:dyDescent="0.25">
      <c r="A12" s="6">
        <f t="shared" si="11"/>
        <v>5</v>
      </c>
      <c r="B12" s="6">
        <v>1436</v>
      </c>
      <c r="C12" s="6" t="s">
        <v>200</v>
      </c>
      <c r="D12" s="7">
        <v>120000</v>
      </c>
      <c r="E12" s="7">
        <v>120000</v>
      </c>
      <c r="F12" s="7">
        <f t="shared" si="2"/>
        <v>0</v>
      </c>
      <c r="G12" s="7">
        <v>120000</v>
      </c>
      <c r="H12" s="7">
        <v>33974</v>
      </c>
      <c r="I12" s="7"/>
      <c r="J12" s="7"/>
      <c r="K12" s="7">
        <f t="shared" si="3"/>
        <v>0</v>
      </c>
      <c r="L12" s="7">
        <f t="shared" si="4"/>
        <v>33974</v>
      </c>
      <c r="M12" s="7">
        <f t="shared" si="5"/>
        <v>86026</v>
      </c>
      <c r="N12" s="7"/>
      <c r="O12" s="7">
        <f t="shared" si="0"/>
        <v>0</v>
      </c>
      <c r="P12" s="7">
        <f t="shared" si="6"/>
        <v>86026</v>
      </c>
      <c r="Q12" s="7"/>
      <c r="R12" s="7"/>
      <c r="S12" s="7">
        <f t="shared" si="7"/>
        <v>0</v>
      </c>
      <c r="T12" s="7">
        <f t="shared" si="8"/>
        <v>0</v>
      </c>
      <c r="U12" s="7">
        <f t="shared" si="9"/>
        <v>0</v>
      </c>
      <c r="V12" s="7">
        <f t="shared" si="10"/>
        <v>0</v>
      </c>
      <c r="W12" s="7"/>
      <c r="X12" s="7"/>
      <c r="Y12" s="6"/>
      <c r="Z12" s="6"/>
      <c r="AA12" s="6"/>
      <c r="AB12" s="6">
        <v>620000</v>
      </c>
    </row>
    <row r="13" spans="1:28" s="8" customFormat="1" x14ac:dyDescent="0.25">
      <c r="A13" s="6">
        <f t="shared" si="11"/>
        <v>6</v>
      </c>
      <c r="B13" s="6">
        <v>1637</v>
      </c>
      <c r="C13" s="6" t="s">
        <v>201</v>
      </c>
      <c r="D13" s="7">
        <f>8399811-2400000-1000+4961</f>
        <v>6003772</v>
      </c>
      <c r="E13" s="7">
        <v>8399811</v>
      </c>
      <c r="F13" s="7">
        <f t="shared" si="2"/>
        <v>-2396039</v>
      </c>
      <c r="G13" s="7">
        <v>8399811</v>
      </c>
      <c r="H13" s="7">
        <v>5625616.8899999997</v>
      </c>
      <c r="I13" s="7">
        <v>352673</v>
      </c>
      <c r="J13" s="7"/>
      <c r="K13" s="7">
        <f t="shared" si="3"/>
        <v>352673</v>
      </c>
      <c r="L13" s="7">
        <f t="shared" si="4"/>
        <v>5978289.8899999997</v>
      </c>
      <c r="M13" s="7">
        <f>P13+S13-2400000-1000+4961</f>
        <v>25482.110000000335</v>
      </c>
      <c r="N13" s="7"/>
      <c r="O13" s="7">
        <f t="shared" si="0"/>
        <v>0</v>
      </c>
      <c r="P13" s="7">
        <f t="shared" si="6"/>
        <v>2421521.1100000003</v>
      </c>
      <c r="Q13" s="7"/>
      <c r="R13" s="7"/>
      <c r="S13" s="7">
        <f t="shared" si="7"/>
        <v>0</v>
      </c>
      <c r="T13" s="7">
        <f t="shared" si="8"/>
        <v>2396039</v>
      </c>
      <c r="U13" s="7">
        <f t="shared" si="9"/>
        <v>-2396039</v>
      </c>
      <c r="V13" s="7">
        <f t="shared" si="10"/>
        <v>-1595039</v>
      </c>
      <c r="W13" s="7">
        <f>-800000-1000</f>
        <v>-801000</v>
      </c>
      <c r="X13" s="7"/>
      <c r="Y13" s="6"/>
      <c r="Z13" s="6"/>
      <c r="AA13" s="6"/>
      <c r="AB13" s="6">
        <v>742000</v>
      </c>
    </row>
    <row r="14" spans="1:28" s="8" customFormat="1" x14ac:dyDescent="0.25">
      <c r="A14" s="6">
        <f t="shared" si="11"/>
        <v>7</v>
      </c>
      <c r="B14" s="6">
        <v>1688</v>
      </c>
      <c r="C14" s="6" t="s">
        <v>202</v>
      </c>
      <c r="D14" s="7">
        <v>15133000</v>
      </c>
      <c r="E14" s="7">
        <v>15133000</v>
      </c>
      <c r="F14" s="7">
        <f t="shared" si="2"/>
        <v>0</v>
      </c>
      <c r="G14" s="7">
        <v>15133000</v>
      </c>
      <c r="H14" s="7">
        <v>15133000</v>
      </c>
      <c r="I14" s="7"/>
      <c r="J14" s="7"/>
      <c r="K14" s="7">
        <f t="shared" si="3"/>
        <v>0</v>
      </c>
      <c r="L14" s="7">
        <f t="shared" si="4"/>
        <v>15133000</v>
      </c>
      <c r="M14" s="7">
        <f t="shared" si="5"/>
        <v>0</v>
      </c>
      <c r="N14" s="7"/>
      <c r="O14" s="7">
        <f t="shared" si="0"/>
        <v>0</v>
      </c>
      <c r="P14" s="7">
        <f t="shared" si="6"/>
        <v>0</v>
      </c>
      <c r="Q14" s="7"/>
      <c r="R14" s="7"/>
      <c r="S14" s="7">
        <f t="shared" si="7"/>
        <v>0</v>
      </c>
      <c r="T14" s="7">
        <f t="shared" si="8"/>
        <v>0</v>
      </c>
      <c r="U14" s="7">
        <f t="shared" si="9"/>
        <v>0</v>
      </c>
      <c r="V14" s="7">
        <f t="shared" si="10"/>
        <v>0</v>
      </c>
      <c r="W14" s="7"/>
      <c r="X14" s="7"/>
      <c r="Y14" s="6"/>
      <c r="Z14" s="6"/>
      <c r="AA14" s="6"/>
      <c r="AB14" s="6">
        <v>990000</v>
      </c>
    </row>
    <row r="15" spans="1:28" s="8" customFormat="1" x14ac:dyDescent="0.25">
      <c r="A15" s="6">
        <f t="shared" si="11"/>
        <v>8</v>
      </c>
      <c r="B15" s="6">
        <v>1793</v>
      </c>
      <c r="C15" s="6" t="s">
        <v>295</v>
      </c>
      <c r="D15" s="7">
        <f>10000000+3317000-1729000</f>
        <v>11588000</v>
      </c>
      <c r="E15" s="7">
        <v>10000000</v>
      </c>
      <c r="F15" s="7">
        <f t="shared" si="2"/>
        <v>1588000</v>
      </c>
      <c r="G15" s="7">
        <v>1500000</v>
      </c>
      <c r="H15" s="7">
        <v>89436.57</v>
      </c>
      <c r="I15" s="7">
        <v>396323.84000000003</v>
      </c>
      <c r="J15" s="7"/>
      <c r="K15" s="7">
        <f t="shared" si="3"/>
        <v>396323.84000000003</v>
      </c>
      <c r="L15" s="7">
        <f t="shared" si="4"/>
        <v>485760.41000000003</v>
      </c>
      <c r="M15" s="7">
        <f t="shared" si="5"/>
        <v>1014239.59</v>
      </c>
      <c r="N15" s="7">
        <f>4500000+8300000-983000-1729000</f>
        <v>10088000</v>
      </c>
      <c r="O15" s="7">
        <f t="shared" si="0"/>
        <v>0</v>
      </c>
      <c r="P15" s="7">
        <f t="shared" si="6"/>
        <v>1014239.59</v>
      </c>
      <c r="Q15" s="7"/>
      <c r="R15" s="7"/>
      <c r="S15" s="7">
        <f t="shared" si="7"/>
        <v>0</v>
      </c>
      <c r="T15" s="7">
        <f t="shared" si="8"/>
        <v>0</v>
      </c>
      <c r="U15" s="7">
        <f t="shared" si="9"/>
        <v>10088000</v>
      </c>
      <c r="V15" s="7">
        <f t="shared" si="10"/>
        <v>9088000</v>
      </c>
      <c r="W15" s="7">
        <v>1000000</v>
      </c>
      <c r="X15" s="7"/>
      <c r="Y15" s="6"/>
      <c r="Z15" s="6"/>
      <c r="AA15" s="6"/>
      <c r="AB15" s="6">
        <v>742000</v>
      </c>
    </row>
    <row r="16" spans="1:28" s="13" customFormat="1" ht="15.6" x14ac:dyDescent="0.25">
      <c r="A16" s="11">
        <f>A15</f>
        <v>8</v>
      </c>
      <c r="B16" s="11" t="s">
        <v>112</v>
      </c>
      <c r="C16" s="11" t="s">
        <v>203</v>
      </c>
      <c r="D16" s="12">
        <f t="shared" ref="D16:Y16" si="12">SUM(D8:D15)</f>
        <v>76779772</v>
      </c>
      <c r="E16" s="12">
        <f t="shared" si="12"/>
        <v>74587811</v>
      </c>
      <c r="F16" s="12">
        <f t="shared" si="12"/>
        <v>2191961</v>
      </c>
      <c r="G16" s="12">
        <f t="shared" si="12"/>
        <v>42602811</v>
      </c>
      <c r="H16" s="12">
        <f t="shared" si="12"/>
        <v>37672957.479999997</v>
      </c>
      <c r="I16" s="12">
        <f t="shared" si="12"/>
        <v>748996.84000000008</v>
      </c>
      <c r="J16" s="12">
        <f t="shared" si="12"/>
        <v>501245.22</v>
      </c>
      <c r="K16" s="12">
        <f t="shared" si="12"/>
        <v>1250242.06</v>
      </c>
      <c r="L16" s="12">
        <f t="shared" si="12"/>
        <v>38923199.539999999</v>
      </c>
      <c r="M16" s="12">
        <f t="shared" si="12"/>
        <v>1283572.4600000004</v>
      </c>
      <c r="N16" s="12">
        <f t="shared" si="12"/>
        <v>13438000</v>
      </c>
      <c r="O16" s="12">
        <f t="shared" si="12"/>
        <v>23135000</v>
      </c>
      <c r="P16" s="12">
        <f t="shared" si="12"/>
        <v>3679611.46</v>
      </c>
      <c r="Q16" s="12">
        <f t="shared" si="12"/>
        <v>0</v>
      </c>
      <c r="R16" s="12">
        <f t="shared" si="12"/>
        <v>0</v>
      </c>
      <c r="S16" s="12">
        <f t="shared" si="12"/>
        <v>0</v>
      </c>
      <c r="T16" s="12">
        <f t="shared" si="12"/>
        <v>2396039</v>
      </c>
      <c r="U16" s="12">
        <f t="shared" si="12"/>
        <v>11041961</v>
      </c>
      <c r="V16" s="12">
        <f t="shared" si="12"/>
        <v>10342961</v>
      </c>
      <c r="W16" s="12">
        <f t="shared" si="12"/>
        <v>699000</v>
      </c>
      <c r="X16" s="12">
        <f t="shared" si="12"/>
        <v>0</v>
      </c>
      <c r="Y16" s="12">
        <f t="shared" si="12"/>
        <v>0</v>
      </c>
      <c r="Z16" s="11"/>
      <c r="AA16" s="11"/>
      <c r="AB16" s="11"/>
    </row>
    <row r="17" spans="1:28" s="8" customFormat="1" x14ac:dyDescent="0.25">
      <c r="A17" s="6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f>D17-L17-M17-N17</f>
        <v>0</v>
      </c>
      <c r="P17" s="7"/>
      <c r="Q17" s="7"/>
      <c r="R17" s="7"/>
      <c r="S17" s="7"/>
      <c r="T17" s="7">
        <f t="shared" ref="T17" si="13">P17-M17+R17</f>
        <v>0</v>
      </c>
      <c r="U17" s="7">
        <f t="shared" ref="U17" si="14">N17-T17</f>
        <v>0</v>
      </c>
      <c r="V17" s="7"/>
      <c r="W17" s="7"/>
      <c r="X17" s="7"/>
      <c r="Y17" s="6"/>
      <c r="Z17" s="6"/>
      <c r="AA17" s="6"/>
      <c r="AB17" s="6"/>
    </row>
    <row r="19" spans="1:28" x14ac:dyDescent="0.25">
      <c r="N19" s="18"/>
    </row>
    <row r="21" spans="1:28" x14ac:dyDescent="0.25">
      <c r="Q21" s="19">
        <f>SUM(Q19:Q20)</f>
        <v>0</v>
      </c>
    </row>
  </sheetData>
  <sheetProtection algorithmName="SHA-512" hashValue="6K79l5cMVVXCmBWiVt7q7YtF33eNAhl0oZifbWV9OLykH29l2ZQktCXvYhs6PSgqGf55PL35A/E1/xM0ECdH0g==" saltValue="07cc6fMs6eMmXvTTeafQZA==" spinCount="100000" sheet="1" formatCells="0" formatColumns="0" formatRows="0" insertColumns="0" insertRows="0" insertHyperlinks="0" deleteColumns="0" deleteRows="0" sort="0" autoFilter="0" pivotTables="0"/>
  <sortState ref="A8:AB20">
    <sortCondition ref="B8:B20"/>
  </sortState>
  <mergeCells count="2">
    <mergeCell ref="A2:W2"/>
    <mergeCell ref="A3:W3"/>
  </mergeCells>
  <printOptions horizontalCentered="1"/>
  <pageMargins left="0" right="0" top="0.78740157480314965" bottom="0.78740157480314965" header="0.51181102362204722" footer="0.51181102362204722"/>
  <pageSetup paperSize="9" scale="85" orientation="landscape" r:id="rId1"/>
  <headerFooter alignWithMargins="0">
    <oddFooter>&amp;Cעמוד &amp;P מתוך &amp;N&amp;Rכללי
עמוד 44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3"/>
  <sheetViews>
    <sheetView showZeros="0" rightToLeft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B1" sqref="AB1:AB1048576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6.109375" style="21" customWidth="1"/>
    <col min="4" max="4" width="11" style="19" customWidth="1"/>
    <col min="5" max="5" width="10.88671875" style="19" customWidth="1"/>
    <col min="6" max="6" width="10.33203125" style="19" customWidth="1"/>
    <col min="7" max="10" width="12.6640625" style="19" hidden="1" customWidth="1"/>
    <col min="11" max="11" width="11.33203125" style="19" hidden="1" customWidth="1"/>
    <col min="12" max="12" width="10.6640625" style="19" customWidth="1"/>
    <col min="13" max="13" width="10.88671875" style="19" customWidth="1"/>
    <col min="14" max="14" width="11.109375" style="19" bestFit="1" customWidth="1"/>
    <col min="15" max="15" width="11.109375" style="19" customWidth="1"/>
    <col min="16" max="17" width="11.109375" style="19" hidden="1" customWidth="1"/>
    <col min="18" max="19" width="12" style="19" hidden="1" customWidth="1"/>
    <col min="20" max="20" width="8.44140625" style="19" hidden="1" customWidth="1"/>
    <col min="21" max="21" width="11.88671875" style="21" bestFit="1" customWidth="1"/>
    <col min="22" max="22" width="9.88671875" style="21" customWidth="1"/>
    <col min="23" max="23" width="9.5546875" style="21" customWidth="1"/>
    <col min="24" max="24" width="11.88671875" style="21" hidden="1" customWidth="1"/>
    <col min="25" max="25" width="11.109375" style="21" customWidth="1"/>
    <col min="26" max="26" width="21.109375" style="21" hidden="1" customWidth="1"/>
    <col min="27" max="27" width="26.5546875" style="21" hidden="1" customWidth="1"/>
    <col min="28" max="28" width="7.88671875" style="21" hidden="1" customWidth="1"/>
    <col min="29" max="16384" width="9.109375" style="21"/>
  </cols>
  <sheetData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</row>
    <row r="3" spans="1:28" ht="18" x14ac:dyDescent="0.35">
      <c r="A3" s="256" t="s">
        <v>339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5" spans="1:28" s="85" customFormat="1" ht="86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359</v>
      </c>
      <c r="N5" s="5" t="s">
        <v>360</v>
      </c>
      <c r="O5" s="5" t="s">
        <v>361</v>
      </c>
      <c r="P5" s="5" t="s">
        <v>12</v>
      </c>
      <c r="Q5" s="5" t="s">
        <v>362</v>
      </c>
      <c r="R5" s="5" t="s">
        <v>363</v>
      </c>
      <c r="S5" s="5" t="s">
        <v>364</v>
      </c>
      <c r="T5" s="5" t="s">
        <v>365</v>
      </c>
      <c r="U5" s="5" t="s">
        <v>366</v>
      </c>
      <c r="V5" s="5" t="s">
        <v>13</v>
      </c>
      <c r="W5" s="5" t="s">
        <v>14</v>
      </c>
      <c r="X5" s="5" t="s">
        <v>15</v>
      </c>
      <c r="Y5" s="5" t="s">
        <v>285</v>
      </c>
      <c r="Z5" s="85" t="s">
        <v>16</v>
      </c>
      <c r="AA5" s="85" t="s">
        <v>17</v>
      </c>
      <c r="AB5" s="85" t="s">
        <v>18</v>
      </c>
    </row>
    <row r="6" spans="1:28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10"/>
      <c r="AA6" s="10"/>
      <c r="AB6" s="10"/>
    </row>
    <row r="7" spans="1:28" s="8" customFormat="1" x14ac:dyDescent="0.25">
      <c r="A7" s="6">
        <v>1</v>
      </c>
      <c r="B7" s="6">
        <v>529</v>
      </c>
      <c r="C7" s="6" t="s">
        <v>217</v>
      </c>
      <c r="D7" s="7">
        <f>450000+50000</f>
        <v>500000</v>
      </c>
      <c r="E7" s="7">
        <v>450000</v>
      </c>
      <c r="F7" s="7">
        <f>D7-E7</f>
        <v>50000</v>
      </c>
      <c r="G7" s="7">
        <v>400000</v>
      </c>
      <c r="H7" s="7">
        <v>344087.43</v>
      </c>
      <c r="I7" s="7"/>
      <c r="J7" s="7"/>
      <c r="K7" s="7">
        <f t="shared" ref="K7" si="0">SUM(I7:J7)</f>
        <v>0</v>
      </c>
      <c r="L7" s="7">
        <f t="shared" ref="L7:L9" si="1">H7+K7</f>
        <v>344087.43</v>
      </c>
      <c r="M7" s="7">
        <f t="shared" ref="M7:M9" si="2">P7+S7</f>
        <v>105912.57</v>
      </c>
      <c r="N7" s="7">
        <v>50000</v>
      </c>
      <c r="O7" s="7">
        <f t="shared" ref="O7:O9" si="3">D7-L7-M7-N7</f>
        <v>0</v>
      </c>
      <c r="P7" s="7">
        <f t="shared" ref="P7:P9" si="4">G7-L7</f>
        <v>55912.570000000007</v>
      </c>
      <c r="Q7" s="7">
        <v>50000</v>
      </c>
      <c r="R7" s="7"/>
      <c r="S7" s="7">
        <f t="shared" ref="S7:S9" si="5">SUM(Q7:R7)</f>
        <v>50000</v>
      </c>
      <c r="T7" s="7">
        <f t="shared" ref="T7:T9" si="6">P7-M7+S7</f>
        <v>0</v>
      </c>
      <c r="U7" s="7">
        <f t="shared" ref="U7:U11" si="7">N7-T7</f>
        <v>50000</v>
      </c>
      <c r="V7" s="7">
        <f>U7-W7-X7-Y7</f>
        <v>50000</v>
      </c>
      <c r="W7" s="7"/>
      <c r="X7" s="7"/>
      <c r="Y7" s="6"/>
      <c r="Z7" s="6"/>
      <c r="AA7" s="6"/>
      <c r="AB7" s="6">
        <v>764000</v>
      </c>
    </row>
    <row r="8" spans="1:28" s="8" customFormat="1" x14ac:dyDescent="0.25">
      <c r="A8" s="6">
        <f>A7+1</f>
        <v>2</v>
      </c>
      <c r="B8" s="6">
        <v>1209</v>
      </c>
      <c r="C8" s="6" t="s">
        <v>218</v>
      </c>
      <c r="D8" s="7">
        <v>3000000</v>
      </c>
      <c r="E8" s="7">
        <v>3000000</v>
      </c>
      <c r="F8" s="7">
        <f t="shared" ref="F8:F9" si="8">D8-E8</f>
        <v>0</v>
      </c>
      <c r="G8" s="7">
        <v>940000</v>
      </c>
      <c r="H8" s="7">
        <v>912429</v>
      </c>
      <c r="I8" s="7"/>
      <c r="J8" s="7"/>
      <c r="K8" s="7">
        <f t="shared" ref="K8:K9" si="9">SUM(I8:J8)</f>
        <v>0</v>
      </c>
      <c r="L8" s="7">
        <f t="shared" si="1"/>
        <v>912429</v>
      </c>
      <c r="M8" s="7">
        <f t="shared" si="2"/>
        <v>27571</v>
      </c>
      <c r="N8" s="7"/>
      <c r="O8" s="7">
        <f t="shared" si="3"/>
        <v>2060000</v>
      </c>
      <c r="P8" s="7">
        <f t="shared" si="4"/>
        <v>27571</v>
      </c>
      <c r="Q8" s="7"/>
      <c r="R8" s="7"/>
      <c r="S8" s="7">
        <f t="shared" si="5"/>
        <v>0</v>
      </c>
      <c r="T8" s="7">
        <f t="shared" si="6"/>
        <v>0</v>
      </c>
      <c r="U8" s="7">
        <f t="shared" si="7"/>
        <v>0</v>
      </c>
      <c r="V8" s="7">
        <f t="shared" ref="V8:V9" si="10">U8-W8-X8-Y8</f>
        <v>0</v>
      </c>
      <c r="W8" s="7"/>
      <c r="X8" s="7"/>
      <c r="Y8" s="7"/>
      <c r="Z8" s="6"/>
      <c r="AA8" s="6"/>
      <c r="AB8" s="6">
        <v>870000</v>
      </c>
    </row>
    <row r="9" spans="1:28" s="8" customFormat="1" x14ac:dyDescent="0.25">
      <c r="A9" s="6">
        <v>3</v>
      </c>
      <c r="B9" s="6">
        <v>1210</v>
      </c>
      <c r="C9" s="6" t="s">
        <v>219</v>
      </c>
      <c r="D9" s="7">
        <v>77000000</v>
      </c>
      <c r="E9" s="7">
        <v>77000000</v>
      </c>
      <c r="F9" s="7">
        <f t="shared" si="8"/>
        <v>0</v>
      </c>
      <c r="G9" s="7">
        <v>48350000</v>
      </c>
      <c r="H9" s="7">
        <v>47624693</v>
      </c>
      <c r="I9" s="7"/>
      <c r="J9" s="7"/>
      <c r="K9" s="7">
        <f t="shared" si="9"/>
        <v>0</v>
      </c>
      <c r="L9" s="7">
        <f t="shared" si="1"/>
        <v>47624693</v>
      </c>
      <c r="M9" s="7">
        <f t="shared" si="2"/>
        <v>725307</v>
      </c>
      <c r="N9" s="7">
        <v>10180000</v>
      </c>
      <c r="O9" s="7">
        <f t="shared" si="3"/>
        <v>18470000</v>
      </c>
      <c r="P9" s="7">
        <f t="shared" si="4"/>
        <v>725307</v>
      </c>
      <c r="Q9" s="7"/>
      <c r="R9" s="7"/>
      <c r="S9" s="7">
        <f t="shared" si="5"/>
        <v>0</v>
      </c>
      <c r="T9" s="7">
        <f t="shared" si="6"/>
        <v>0</v>
      </c>
      <c r="U9" s="7">
        <f t="shared" si="7"/>
        <v>10180000</v>
      </c>
      <c r="V9" s="7">
        <f t="shared" si="10"/>
        <v>0</v>
      </c>
      <c r="W9" s="7"/>
      <c r="X9" s="7"/>
      <c r="Y9" s="7">
        <v>10180000</v>
      </c>
      <c r="Z9" s="6"/>
      <c r="AA9" s="6"/>
      <c r="AB9" s="6">
        <v>870000</v>
      </c>
    </row>
    <row r="10" spans="1:28" s="13" customFormat="1" ht="15.6" x14ac:dyDescent="0.25">
      <c r="A10" s="11">
        <f>A9</f>
        <v>3</v>
      </c>
      <c r="B10" s="11" t="s">
        <v>112</v>
      </c>
      <c r="C10" s="11" t="s">
        <v>220</v>
      </c>
      <c r="D10" s="12">
        <f t="shared" ref="D10:Y10" si="11">SUM(D7:D9)</f>
        <v>80500000</v>
      </c>
      <c r="E10" s="12">
        <f t="shared" si="11"/>
        <v>80450000</v>
      </c>
      <c r="F10" s="12">
        <f t="shared" si="11"/>
        <v>50000</v>
      </c>
      <c r="G10" s="12">
        <f t="shared" si="11"/>
        <v>49690000</v>
      </c>
      <c r="H10" s="12">
        <f t="shared" si="11"/>
        <v>48881209.43</v>
      </c>
      <c r="I10" s="12">
        <f t="shared" si="11"/>
        <v>0</v>
      </c>
      <c r="J10" s="12">
        <f t="shared" si="11"/>
        <v>0</v>
      </c>
      <c r="K10" s="12">
        <f t="shared" si="11"/>
        <v>0</v>
      </c>
      <c r="L10" s="12">
        <f t="shared" si="11"/>
        <v>48881209.43</v>
      </c>
      <c r="M10" s="12">
        <f t="shared" si="11"/>
        <v>858790.57000000007</v>
      </c>
      <c r="N10" s="12">
        <f t="shared" si="11"/>
        <v>10230000</v>
      </c>
      <c r="O10" s="12">
        <f t="shared" si="11"/>
        <v>20530000</v>
      </c>
      <c r="P10" s="12">
        <f t="shared" si="11"/>
        <v>808790.57000000007</v>
      </c>
      <c r="Q10" s="12">
        <f t="shared" si="11"/>
        <v>50000</v>
      </c>
      <c r="R10" s="12">
        <f t="shared" si="11"/>
        <v>0</v>
      </c>
      <c r="S10" s="12">
        <f t="shared" si="11"/>
        <v>50000</v>
      </c>
      <c r="T10" s="12">
        <f t="shared" si="11"/>
        <v>0</v>
      </c>
      <c r="U10" s="12">
        <f t="shared" si="11"/>
        <v>10230000</v>
      </c>
      <c r="V10" s="12">
        <f t="shared" si="11"/>
        <v>50000</v>
      </c>
      <c r="W10" s="12">
        <f t="shared" si="11"/>
        <v>0</v>
      </c>
      <c r="X10" s="12">
        <f t="shared" si="11"/>
        <v>0</v>
      </c>
      <c r="Y10" s="12">
        <f t="shared" si="11"/>
        <v>10180000</v>
      </c>
      <c r="Z10" s="11"/>
      <c r="AA10" s="11"/>
      <c r="AB10" s="11"/>
    </row>
    <row r="11" spans="1:28" s="8" customFormat="1" x14ac:dyDescent="0.25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ref="O11" si="12">D11-L11-M11-N11</f>
        <v>0</v>
      </c>
      <c r="P11" s="7"/>
      <c r="Q11" s="7"/>
      <c r="R11" s="7"/>
      <c r="S11" s="7"/>
      <c r="T11" s="7">
        <f t="shared" ref="T11" si="13">P11-M11+R11</f>
        <v>0</v>
      </c>
      <c r="U11" s="7">
        <f t="shared" si="7"/>
        <v>0</v>
      </c>
      <c r="V11" s="7"/>
      <c r="W11" s="7"/>
      <c r="X11" s="7"/>
      <c r="Y11" s="6"/>
      <c r="Z11" s="6"/>
      <c r="AA11" s="6"/>
      <c r="AB11" s="6"/>
    </row>
    <row r="12" spans="1:28" s="17" customFormat="1" x14ac:dyDescent="0.25"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8"/>
      <c r="R12" s="18"/>
      <c r="S12" s="18"/>
      <c r="T12" s="19"/>
    </row>
    <row r="13" spans="1:28" x14ac:dyDescent="0.25">
      <c r="N13" s="18"/>
    </row>
  </sheetData>
  <sheetProtection algorithmName="SHA-512" hashValue="/u82iGUHzTrP57dp3d1XYF79Izh4uAEhmM/QKP1BKFjTUIVlewhh2tf/7tyEtmcFAs2X9kkUox42Ts6iiL+EJw==" saltValue="o64NLNKrGL9/DSor1mjinA==" spinCount="100000" sheet="1" formatCells="0" formatColumns="0" formatRows="0" insertColumns="0" insertRows="0" insertHyperlinks="0" deleteColumns="0" deleteRows="0" sort="0" autoFilter="0" pivotTables="0"/>
  <mergeCells count="2">
    <mergeCell ref="A2:Y2"/>
    <mergeCell ref="A3:Y3"/>
  </mergeCells>
  <printOptions horizontalCentered="1"/>
  <pageMargins left="0" right="0" top="0.78740157480314965" bottom="0.78740157480314965" header="0.51181102362204722" footer="0.51181102362204722"/>
  <pageSetup paperSize="9" scale="85" orientation="landscape" r:id="rId1"/>
  <headerFooter alignWithMargins="0">
    <oddFooter>&amp;Cעמוד &amp;P מתוך &amp;N&amp;Rשיפוץ חזיתות /עמידר
עמוד 43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3"/>
  <sheetViews>
    <sheetView showZeros="0" rightToLeft="1" zoomScaleNormal="100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C45" sqref="C45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5.88671875" style="21" customWidth="1"/>
    <col min="4" max="4" width="12.6640625" style="19" bestFit="1" customWidth="1"/>
    <col min="5" max="5" width="11.44140625" style="19" customWidth="1"/>
    <col min="6" max="6" width="9.88671875" style="19" customWidth="1"/>
    <col min="7" max="10" width="12.6640625" style="19" hidden="1" customWidth="1"/>
    <col min="11" max="11" width="11.33203125" style="19" hidden="1" customWidth="1"/>
    <col min="12" max="12" width="11" style="19" customWidth="1"/>
    <col min="13" max="15" width="11.109375" style="19" bestFit="1" customWidth="1"/>
    <col min="16" max="17" width="11.109375" style="19" hidden="1" customWidth="1"/>
    <col min="18" max="19" width="12" style="19" hidden="1" customWidth="1"/>
    <col min="20" max="20" width="10.33203125" style="19" customWidth="1"/>
    <col min="21" max="21" width="11.88671875" style="21" bestFit="1" customWidth="1"/>
    <col min="22" max="22" width="10.33203125" style="21" customWidth="1"/>
    <col min="23" max="23" width="8" style="21" customWidth="1"/>
    <col min="24" max="24" width="11" style="21" customWidth="1"/>
    <col min="25" max="25" width="6.6640625" style="21" hidden="1" customWidth="1"/>
    <col min="26" max="26" width="21.109375" style="21" hidden="1" customWidth="1"/>
    <col min="27" max="27" width="26.5546875" style="21" hidden="1" customWidth="1"/>
    <col min="28" max="28" width="7.88671875" style="21" hidden="1" customWidth="1"/>
    <col min="29" max="16384" width="9.109375" style="21"/>
  </cols>
  <sheetData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</row>
    <row r="3" spans="1:28" ht="18" x14ac:dyDescent="0.35">
      <c r="A3" s="256" t="s">
        <v>338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</row>
    <row r="5" spans="1:28" s="86" customFormat="1" ht="86.2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359</v>
      </c>
      <c r="N5" s="4" t="s">
        <v>360</v>
      </c>
      <c r="O5" s="4" t="s">
        <v>361</v>
      </c>
      <c r="P5" s="4" t="s">
        <v>12</v>
      </c>
      <c r="Q5" s="4" t="s">
        <v>362</v>
      </c>
      <c r="R5" s="4" t="s">
        <v>363</v>
      </c>
      <c r="S5" s="4" t="s">
        <v>364</v>
      </c>
      <c r="T5" s="4" t="s">
        <v>365</v>
      </c>
      <c r="U5" s="4" t="s">
        <v>366</v>
      </c>
      <c r="V5" s="4" t="s">
        <v>13</v>
      </c>
      <c r="W5" s="4" t="s">
        <v>14</v>
      </c>
      <c r="X5" s="4" t="s">
        <v>15</v>
      </c>
      <c r="Y5" s="4" t="s">
        <v>285</v>
      </c>
      <c r="Z5" s="4" t="s">
        <v>16</v>
      </c>
      <c r="AA5" s="4" t="s">
        <v>17</v>
      </c>
      <c r="AB5" s="4" t="s">
        <v>18</v>
      </c>
    </row>
    <row r="6" spans="1:28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10"/>
      <c r="AA6" s="10"/>
      <c r="AB6" s="10"/>
    </row>
    <row r="7" spans="1:28" s="8" customForma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:O27" si="0">D7-L7-M7-N7</f>
        <v>0</v>
      </c>
      <c r="P7" s="7"/>
      <c r="Q7" s="7"/>
      <c r="R7" s="7"/>
      <c r="S7" s="7"/>
      <c r="T7" s="7">
        <f t="shared" ref="T7:T29" si="1">P7-M7+R7</f>
        <v>0</v>
      </c>
      <c r="U7" s="7">
        <f t="shared" ref="U7:U29" si="2">N7-T7</f>
        <v>0</v>
      </c>
      <c r="V7" s="7"/>
      <c r="W7" s="7"/>
      <c r="X7" s="7"/>
      <c r="Y7" s="6"/>
      <c r="Z7" s="6"/>
      <c r="AA7" s="6"/>
      <c r="AB7" s="6"/>
    </row>
    <row r="8" spans="1:28" s="8" customFormat="1" x14ac:dyDescent="0.25">
      <c r="A8" s="6">
        <v>1</v>
      </c>
      <c r="B8" s="6">
        <v>431</v>
      </c>
      <c r="C8" s="6" t="s">
        <v>221</v>
      </c>
      <c r="D8" s="7">
        <v>650000</v>
      </c>
      <c r="E8" s="7">
        <v>650000</v>
      </c>
      <c r="F8" s="7">
        <f t="shared" ref="F8:F27" si="3">D8-E8</f>
        <v>0</v>
      </c>
      <c r="G8" s="7">
        <v>452000</v>
      </c>
      <c r="H8" s="7">
        <v>274177.5</v>
      </c>
      <c r="I8" s="7"/>
      <c r="J8" s="7"/>
      <c r="K8" s="7">
        <f t="shared" ref="K8:K27" si="4">SUM(I8:J8)</f>
        <v>0</v>
      </c>
      <c r="L8" s="7">
        <f t="shared" ref="L8:L27" si="5">H8+K8</f>
        <v>274177.5</v>
      </c>
      <c r="M8" s="7">
        <f t="shared" ref="M8:M27" si="6">P8+S8</f>
        <v>177822.5</v>
      </c>
      <c r="N8" s="7"/>
      <c r="O8" s="7">
        <f t="shared" si="0"/>
        <v>198000</v>
      </c>
      <c r="P8" s="7">
        <f t="shared" ref="P8:P27" si="7">G8-L8</f>
        <v>177822.5</v>
      </c>
      <c r="Q8" s="7"/>
      <c r="R8" s="7"/>
      <c r="S8" s="7">
        <f t="shared" ref="S8:S27" si="8">SUM(Q8:R8)</f>
        <v>0</v>
      </c>
      <c r="T8" s="7">
        <f t="shared" ref="T8:T27" si="9">P8-M8+S8</f>
        <v>0</v>
      </c>
      <c r="U8" s="7">
        <f t="shared" si="2"/>
        <v>0</v>
      </c>
      <c r="V8" s="7">
        <f>U8-W8-X8-Y8</f>
        <v>0</v>
      </c>
      <c r="W8" s="7"/>
      <c r="X8" s="7"/>
      <c r="Y8" s="6"/>
      <c r="Z8" s="6"/>
      <c r="AA8" s="6"/>
      <c r="AB8" s="6">
        <v>930000</v>
      </c>
    </row>
    <row r="9" spans="1:28" s="8" customFormat="1" x14ac:dyDescent="0.25">
      <c r="A9" s="6">
        <f t="shared" ref="A9:A27" si="10">A8+1</f>
        <v>2</v>
      </c>
      <c r="B9" s="6">
        <v>470</v>
      </c>
      <c r="C9" s="6" t="s">
        <v>222</v>
      </c>
      <c r="D9" s="7">
        <v>1580000</v>
      </c>
      <c r="E9" s="7">
        <v>1580000</v>
      </c>
      <c r="F9" s="7">
        <f t="shared" si="3"/>
        <v>0</v>
      </c>
      <c r="G9" s="7">
        <v>1580000</v>
      </c>
      <c r="H9" s="7">
        <v>1548809.43</v>
      </c>
      <c r="I9" s="7"/>
      <c r="J9" s="7"/>
      <c r="K9" s="7">
        <f t="shared" si="4"/>
        <v>0</v>
      </c>
      <c r="L9" s="7">
        <f t="shared" si="5"/>
        <v>1548809.43</v>
      </c>
      <c r="M9" s="7">
        <f t="shared" si="6"/>
        <v>31190.570000000065</v>
      </c>
      <c r="N9" s="7"/>
      <c r="O9" s="7">
        <f t="shared" si="0"/>
        <v>0</v>
      </c>
      <c r="P9" s="7">
        <f t="shared" si="7"/>
        <v>31190.570000000065</v>
      </c>
      <c r="Q9" s="7"/>
      <c r="R9" s="7"/>
      <c r="S9" s="7">
        <f t="shared" si="8"/>
        <v>0</v>
      </c>
      <c r="T9" s="7">
        <f t="shared" si="9"/>
        <v>0</v>
      </c>
      <c r="U9" s="7">
        <f t="shared" si="2"/>
        <v>0</v>
      </c>
      <c r="V9" s="7">
        <f t="shared" ref="V9:V27" si="11">U9-W9-X9-Y9</f>
        <v>0</v>
      </c>
      <c r="W9" s="7"/>
      <c r="X9" s="7"/>
      <c r="Y9" s="6"/>
      <c r="Z9" s="6"/>
      <c r="AA9" s="6"/>
      <c r="AB9" s="6">
        <v>935000</v>
      </c>
    </row>
    <row r="10" spans="1:28" s="8" customFormat="1" x14ac:dyDescent="0.25">
      <c r="A10" s="6">
        <f t="shared" si="10"/>
        <v>3</v>
      </c>
      <c r="B10" s="6">
        <v>614</v>
      </c>
      <c r="C10" s="6" t="s">
        <v>223</v>
      </c>
      <c r="D10" s="7">
        <v>1567255</v>
      </c>
      <c r="E10" s="7">
        <v>1567255</v>
      </c>
      <c r="F10" s="7">
        <f t="shared" si="3"/>
        <v>0</v>
      </c>
      <c r="G10" s="7">
        <v>75505</v>
      </c>
      <c r="H10" s="7">
        <v>56419</v>
      </c>
      <c r="I10" s="7">
        <v>565</v>
      </c>
      <c r="J10" s="7"/>
      <c r="K10" s="7">
        <f t="shared" si="4"/>
        <v>565</v>
      </c>
      <c r="L10" s="7">
        <f t="shared" si="5"/>
        <v>56984</v>
      </c>
      <c r="M10" s="7">
        <f t="shared" si="6"/>
        <v>1510271</v>
      </c>
      <c r="N10" s="7"/>
      <c r="O10" s="7">
        <f t="shared" si="0"/>
        <v>0</v>
      </c>
      <c r="P10" s="7">
        <f t="shared" si="7"/>
        <v>18521</v>
      </c>
      <c r="Q10" s="7">
        <v>1491750</v>
      </c>
      <c r="R10" s="7"/>
      <c r="S10" s="7">
        <f t="shared" si="8"/>
        <v>1491750</v>
      </c>
      <c r="T10" s="7">
        <f t="shared" si="9"/>
        <v>0</v>
      </c>
      <c r="U10" s="7">
        <f t="shared" si="2"/>
        <v>0</v>
      </c>
      <c r="V10" s="7">
        <f t="shared" si="11"/>
        <v>0</v>
      </c>
      <c r="W10" s="7"/>
      <c r="X10" s="7"/>
      <c r="Y10" s="6"/>
      <c r="Z10" s="6"/>
      <c r="AA10" s="6"/>
      <c r="AB10" s="6">
        <v>930000</v>
      </c>
    </row>
    <row r="11" spans="1:28" s="8" customFormat="1" x14ac:dyDescent="0.25">
      <c r="A11" s="6">
        <f t="shared" si="10"/>
        <v>4</v>
      </c>
      <c r="B11" s="6">
        <v>649</v>
      </c>
      <c r="C11" s="6" t="s">
        <v>224</v>
      </c>
      <c r="D11" s="7">
        <v>70000</v>
      </c>
      <c r="E11" s="7">
        <v>70000</v>
      </c>
      <c r="F11" s="7">
        <f t="shared" si="3"/>
        <v>0</v>
      </c>
      <c r="G11" s="7">
        <v>70000</v>
      </c>
      <c r="H11" s="7">
        <v>43111.48</v>
      </c>
      <c r="I11" s="7"/>
      <c r="J11" s="7"/>
      <c r="K11" s="7">
        <f t="shared" si="4"/>
        <v>0</v>
      </c>
      <c r="L11" s="7">
        <f t="shared" si="5"/>
        <v>43111.48</v>
      </c>
      <c r="M11" s="7">
        <f t="shared" si="6"/>
        <v>26888.519999999997</v>
      </c>
      <c r="N11" s="7"/>
      <c r="O11" s="7">
        <f t="shared" si="0"/>
        <v>0</v>
      </c>
      <c r="P11" s="7">
        <f t="shared" si="7"/>
        <v>26888.519999999997</v>
      </c>
      <c r="Q11" s="7"/>
      <c r="R11" s="7"/>
      <c r="S11" s="7">
        <f t="shared" si="8"/>
        <v>0</v>
      </c>
      <c r="T11" s="7">
        <f t="shared" si="9"/>
        <v>0</v>
      </c>
      <c r="U11" s="7">
        <f t="shared" si="2"/>
        <v>0</v>
      </c>
      <c r="V11" s="7">
        <f t="shared" si="11"/>
        <v>0</v>
      </c>
      <c r="W11" s="7"/>
      <c r="X11" s="7"/>
      <c r="Y11" s="6"/>
      <c r="Z11" s="6"/>
      <c r="AA11" s="6"/>
      <c r="AB11" s="6">
        <v>930000</v>
      </c>
    </row>
    <row r="12" spans="1:28" s="8" customFormat="1" x14ac:dyDescent="0.25">
      <c r="A12" s="6">
        <f t="shared" si="10"/>
        <v>5</v>
      </c>
      <c r="B12" s="6">
        <v>1066</v>
      </c>
      <c r="C12" s="6" t="s">
        <v>225</v>
      </c>
      <c r="D12" s="7">
        <v>75000</v>
      </c>
      <c r="E12" s="7">
        <v>75000</v>
      </c>
      <c r="F12" s="7">
        <f t="shared" si="3"/>
        <v>0</v>
      </c>
      <c r="G12" s="7">
        <v>75000</v>
      </c>
      <c r="H12" s="7">
        <v>40172</v>
      </c>
      <c r="I12" s="7"/>
      <c r="J12" s="7"/>
      <c r="K12" s="7">
        <f t="shared" si="4"/>
        <v>0</v>
      </c>
      <c r="L12" s="7">
        <f t="shared" si="5"/>
        <v>40172</v>
      </c>
      <c r="M12" s="7">
        <f t="shared" si="6"/>
        <v>34828</v>
      </c>
      <c r="N12" s="7"/>
      <c r="O12" s="7">
        <f t="shared" si="0"/>
        <v>0</v>
      </c>
      <c r="P12" s="7">
        <f t="shared" si="7"/>
        <v>34828</v>
      </c>
      <c r="Q12" s="7"/>
      <c r="R12" s="7"/>
      <c r="S12" s="7">
        <f t="shared" si="8"/>
        <v>0</v>
      </c>
      <c r="T12" s="7">
        <f t="shared" si="9"/>
        <v>0</v>
      </c>
      <c r="U12" s="7">
        <f t="shared" si="2"/>
        <v>0</v>
      </c>
      <c r="V12" s="7">
        <f t="shared" si="11"/>
        <v>0</v>
      </c>
      <c r="W12" s="7"/>
      <c r="X12" s="7"/>
      <c r="Y12" s="6"/>
      <c r="Z12" s="6"/>
      <c r="AA12" s="6"/>
      <c r="AB12" s="6">
        <v>935000</v>
      </c>
    </row>
    <row r="13" spans="1:28" s="8" customFormat="1" x14ac:dyDescent="0.25">
      <c r="A13" s="6">
        <f t="shared" si="10"/>
        <v>6</v>
      </c>
      <c r="B13" s="6">
        <v>1177</v>
      </c>
      <c r="C13" s="6" t="s">
        <v>226</v>
      </c>
      <c r="D13" s="7">
        <v>41850000</v>
      </c>
      <c r="E13" s="7">
        <v>41850000</v>
      </c>
      <c r="F13" s="7">
        <f t="shared" si="3"/>
        <v>0</v>
      </c>
      <c r="G13" s="7">
        <v>26957000</v>
      </c>
      <c r="H13" s="7">
        <v>26727455.199999999</v>
      </c>
      <c r="I13" s="7"/>
      <c r="J13" s="7"/>
      <c r="K13" s="7">
        <f t="shared" si="4"/>
        <v>0</v>
      </c>
      <c r="L13" s="7">
        <f t="shared" si="5"/>
        <v>26727455.199999999</v>
      </c>
      <c r="M13" s="7">
        <f t="shared" si="6"/>
        <v>229544.80000000075</v>
      </c>
      <c r="N13" s="7">
        <v>2000000</v>
      </c>
      <c r="O13" s="7">
        <f t="shared" si="0"/>
        <v>12893000</v>
      </c>
      <c r="P13" s="7">
        <f t="shared" si="7"/>
        <v>229544.80000000075</v>
      </c>
      <c r="Q13" s="7"/>
      <c r="R13" s="7"/>
      <c r="S13" s="7">
        <f t="shared" si="8"/>
        <v>0</v>
      </c>
      <c r="T13" s="7">
        <f t="shared" si="9"/>
        <v>0</v>
      </c>
      <c r="U13" s="7">
        <f t="shared" si="2"/>
        <v>2000000</v>
      </c>
      <c r="V13" s="7">
        <f t="shared" si="11"/>
        <v>2000000</v>
      </c>
      <c r="W13" s="7"/>
      <c r="X13" s="7"/>
      <c r="Y13" s="6"/>
      <c r="Z13" s="6"/>
      <c r="AA13" s="6"/>
      <c r="AB13" s="6">
        <v>930000</v>
      </c>
    </row>
    <row r="14" spans="1:28" s="8" customFormat="1" x14ac:dyDescent="0.25">
      <c r="A14" s="6">
        <f t="shared" si="10"/>
        <v>7</v>
      </c>
      <c r="B14" s="6">
        <v>1256</v>
      </c>
      <c r="C14" s="6" t="s">
        <v>227</v>
      </c>
      <c r="D14" s="7">
        <v>2714000</v>
      </c>
      <c r="E14" s="7">
        <v>2714000</v>
      </c>
      <c r="F14" s="7">
        <f t="shared" si="3"/>
        <v>0</v>
      </c>
      <c r="G14" s="7">
        <v>2645000</v>
      </c>
      <c r="H14" s="7">
        <v>2644222</v>
      </c>
      <c r="I14" s="7"/>
      <c r="J14" s="7"/>
      <c r="K14" s="7">
        <f t="shared" si="4"/>
        <v>0</v>
      </c>
      <c r="L14" s="7">
        <f t="shared" si="5"/>
        <v>2644222</v>
      </c>
      <c r="M14" s="7">
        <f t="shared" si="6"/>
        <v>778</v>
      </c>
      <c r="N14" s="7"/>
      <c r="O14" s="7">
        <f t="shared" si="0"/>
        <v>69000</v>
      </c>
      <c r="P14" s="7">
        <f t="shared" si="7"/>
        <v>778</v>
      </c>
      <c r="Q14" s="7"/>
      <c r="R14" s="7"/>
      <c r="S14" s="7">
        <f t="shared" si="8"/>
        <v>0</v>
      </c>
      <c r="T14" s="7">
        <f t="shared" si="9"/>
        <v>0</v>
      </c>
      <c r="U14" s="7">
        <f t="shared" si="2"/>
        <v>0</v>
      </c>
      <c r="V14" s="7">
        <f t="shared" si="11"/>
        <v>0</v>
      </c>
      <c r="W14" s="7"/>
      <c r="X14" s="7"/>
      <c r="Y14" s="6"/>
      <c r="Z14" s="6"/>
      <c r="AA14" s="6"/>
      <c r="AB14" s="6">
        <v>930000</v>
      </c>
    </row>
    <row r="15" spans="1:28" s="8" customFormat="1" x14ac:dyDescent="0.25">
      <c r="A15" s="6">
        <f t="shared" si="10"/>
        <v>8</v>
      </c>
      <c r="B15" s="6">
        <v>1258</v>
      </c>
      <c r="C15" s="6" t="s">
        <v>228</v>
      </c>
      <c r="D15" s="7">
        <v>1400000</v>
      </c>
      <c r="E15" s="7">
        <v>1400000</v>
      </c>
      <c r="F15" s="7">
        <f t="shared" si="3"/>
        <v>0</v>
      </c>
      <c r="G15" s="7">
        <v>900000</v>
      </c>
      <c r="H15" s="7">
        <v>825365.96</v>
      </c>
      <c r="I15" s="7"/>
      <c r="J15" s="7"/>
      <c r="K15" s="7">
        <f t="shared" si="4"/>
        <v>0</v>
      </c>
      <c r="L15" s="7">
        <f t="shared" si="5"/>
        <v>825365.96</v>
      </c>
      <c r="M15" s="7">
        <f t="shared" si="6"/>
        <v>74634.040000000037</v>
      </c>
      <c r="N15" s="7">
        <v>150000</v>
      </c>
      <c r="O15" s="7">
        <f t="shared" si="0"/>
        <v>350000</v>
      </c>
      <c r="P15" s="7">
        <f t="shared" si="7"/>
        <v>74634.040000000037</v>
      </c>
      <c r="Q15" s="7"/>
      <c r="R15" s="7"/>
      <c r="S15" s="7">
        <f t="shared" si="8"/>
        <v>0</v>
      </c>
      <c r="T15" s="7">
        <f t="shared" si="9"/>
        <v>0</v>
      </c>
      <c r="U15" s="7">
        <f t="shared" si="2"/>
        <v>150000</v>
      </c>
      <c r="V15" s="7">
        <f t="shared" si="11"/>
        <v>150000</v>
      </c>
      <c r="W15" s="7"/>
      <c r="X15" s="7"/>
      <c r="Y15" s="6"/>
      <c r="Z15" s="6"/>
      <c r="AA15" s="6"/>
      <c r="AB15" s="6">
        <v>930000</v>
      </c>
    </row>
    <row r="16" spans="1:28" s="8" customFormat="1" x14ac:dyDescent="0.25">
      <c r="A16" s="6">
        <f t="shared" si="10"/>
        <v>9</v>
      </c>
      <c r="B16" s="6">
        <v>1330</v>
      </c>
      <c r="C16" s="6" t="s">
        <v>229</v>
      </c>
      <c r="D16" s="7">
        <v>60700000</v>
      </c>
      <c r="E16" s="7">
        <v>60700000</v>
      </c>
      <c r="F16" s="7">
        <f t="shared" si="3"/>
        <v>0</v>
      </c>
      <c r="G16" s="7">
        <v>7249825</v>
      </c>
      <c r="H16" s="7">
        <v>1650277.63</v>
      </c>
      <c r="I16" s="7">
        <v>12636</v>
      </c>
      <c r="J16" s="7"/>
      <c r="K16" s="7">
        <f t="shared" si="4"/>
        <v>12636</v>
      </c>
      <c r="L16" s="7">
        <f t="shared" si="5"/>
        <v>1662913.63</v>
      </c>
      <c r="M16" s="7">
        <f t="shared" si="6"/>
        <v>5586911.3700000001</v>
      </c>
      <c r="N16" s="7">
        <v>10000000</v>
      </c>
      <c r="O16" s="7">
        <f t="shared" si="0"/>
        <v>43450175</v>
      </c>
      <c r="P16" s="7">
        <f t="shared" si="7"/>
        <v>5586911.3700000001</v>
      </c>
      <c r="Q16" s="7"/>
      <c r="R16" s="7"/>
      <c r="S16" s="7">
        <f t="shared" si="8"/>
        <v>0</v>
      </c>
      <c r="T16" s="7">
        <f t="shared" si="9"/>
        <v>0</v>
      </c>
      <c r="U16" s="7">
        <f t="shared" si="2"/>
        <v>10000000</v>
      </c>
      <c r="V16" s="7">
        <f t="shared" si="11"/>
        <v>7100000</v>
      </c>
      <c r="W16" s="7"/>
      <c r="X16" s="7">
        <v>2900000</v>
      </c>
      <c r="Y16" s="6"/>
      <c r="Z16" s="6"/>
      <c r="AA16" s="6"/>
      <c r="AB16" s="6">
        <v>930000</v>
      </c>
    </row>
    <row r="17" spans="1:28" s="8" customFormat="1" ht="27.6" x14ac:dyDescent="0.25">
      <c r="A17" s="6">
        <f t="shared" si="10"/>
        <v>10</v>
      </c>
      <c r="B17" s="6">
        <v>1339</v>
      </c>
      <c r="C17" s="6" t="s">
        <v>230</v>
      </c>
      <c r="D17" s="7">
        <v>1250000</v>
      </c>
      <c r="E17" s="7">
        <v>1250000</v>
      </c>
      <c r="F17" s="7">
        <f t="shared" si="3"/>
        <v>0</v>
      </c>
      <c r="G17" s="7">
        <v>1250000</v>
      </c>
      <c r="H17" s="7">
        <v>1218825</v>
      </c>
      <c r="I17" s="7"/>
      <c r="J17" s="7"/>
      <c r="K17" s="7">
        <f t="shared" si="4"/>
        <v>0</v>
      </c>
      <c r="L17" s="7">
        <f t="shared" si="5"/>
        <v>1218825</v>
      </c>
      <c r="M17" s="7">
        <f t="shared" si="6"/>
        <v>31175</v>
      </c>
      <c r="N17" s="7"/>
      <c r="O17" s="7">
        <f t="shared" si="0"/>
        <v>0</v>
      </c>
      <c r="P17" s="7">
        <f t="shared" si="7"/>
        <v>31175</v>
      </c>
      <c r="Q17" s="7"/>
      <c r="R17" s="7"/>
      <c r="S17" s="7">
        <f t="shared" si="8"/>
        <v>0</v>
      </c>
      <c r="T17" s="7">
        <f t="shared" si="9"/>
        <v>0</v>
      </c>
      <c r="U17" s="7">
        <f t="shared" si="2"/>
        <v>0</v>
      </c>
      <c r="V17" s="7">
        <f t="shared" si="11"/>
        <v>0</v>
      </c>
      <c r="W17" s="7"/>
      <c r="X17" s="7"/>
      <c r="Y17" s="6"/>
      <c r="Z17" s="6"/>
      <c r="AA17" s="6"/>
      <c r="AB17" s="6">
        <v>930000</v>
      </c>
    </row>
    <row r="18" spans="1:28" s="8" customFormat="1" x14ac:dyDescent="0.25">
      <c r="A18" s="6">
        <f t="shared" si="10"/>
        <v>11</v>
      </c>
      <c r="B18" s="6">
        <v>1340</v>
      </c>
      <c r="C18" s="6" t="s">
        <v>231</v>
      </c>
      <c r="D18" s="7">
        <v>395000</v>
      </c>
      <c r="E18" s="7">
        <v>395000</v>
      </c>
      <c r="F18" s="7">
        <f t="shared" si="3"/>
        <v>0</v>
      </c>
      <c r="G18" s="7">
        <v>295000</v>
      </c>
      <c r="H18" s="7">
        <v>273797.02</v>
      </c>
      <c r="I18" s="7"/>
      <c r="J18" s="7"/>
      <c r="K18" s="7">
        <f t="shared" si="4"/>
        <v>0</v>
      </c>
      <c r="L18" s="7">
        <f t="shared" si="5"/>
        <v>273797.02</v>
      </c>
      <c r="M18" s="7">
        <f t="shared" si="6"/>
        <v>21202.979999999981</v>
      </c>
      <c r="N18" s="7"/>
      <c r="O18" s="7">
        <f t="shared" si="0"/>
        <v>100000</v>
      </c>
      <c r="P18" s="7">
        <f t="shared" si="7"/>
        <v>21202.979999999981</v>
      </c>
      <c r="Q18" s="7"/>
      <c r="R18" s="7"/>
      <c r="S18" s="7">
        <f t="shared" si="8"/>
        <v>0</v>
      </c>
      <c r="T18" s="7">
        <f t="shared" si="9"/>
        <v>0</v>
      </c>
      <c r="U18" s="7">
        <f t="shared" si="2"/>
        <v>0</v>
      </c>
      <c r="V18" s="7">
        <f t="shared" si="11"/>
        <v>0</v>
      </c>
      <c r="W18" s="7"/>
      <c r="X18" s="7"/>
      <c r="Y18" s="6"/>
      <c r="Z18" s="6"/>
      <c r="AA18" s="6"/>
      <c r="AB18" s="6">
        <v>930000</v>
      </c>
    </row>
    <row r="19" spans="1:28" s="8" customFormat="1" x14ac:dyDescent="0.25">
      <c r="A19" s="6">
        <f t="shared" si="10"/>
        <v>12</v>
      </c>
      <c r="B19" s="6">
        <v>1369</v>
      </c>
      <c r="C19" s="6" t="s">
        <v>232</v>
      </c>
      <c r="D19" s="7">
        <v>1100700</v>
      </c>
      <c r="E19" s="7">
        <v>1100700</v>
      </c>
      <c r="F19" s="7">
        <f t="shared" si="3"/>
        <v>0</v>
      </c>
      <c r="G19" s="7">
        <v>570700</v>
      </c>
      <c r="H19" s="7">
        <v>552097</v>
      </c>
      <c r="I19" s="7"/>
      <c r="J19" s="7"/>
      <c r="K19" s="7">
        <f t="shared" si="4"/>
        <v>0</v>
      </c>
      <c r="L19" s="7">
        <f t="shared" si="5"/>
        <v>552097</v>
      </c>
      <c r="M19" s="7">
        <f t="shared" si="6"/>
        <v>18603</v>
      </c>
      <c r="N19" s="7">
        <v>100000</v>
      </c>
      <c r="O19" s="7">
        <f t="shared" si="0"/>
        <v>430000</v>
      </c>
      <c r="P19" s="7">
        <f t="shared" si="7"/>
        <v>18603</v>
      </c>
      <c r="Q19" s="7"/>
      <c r="R19" s="7"/>
      <c r="S19" s="7">
        <f t="shared" si="8"/>
        <v>0</v>
      </c>
      <c r="T19" s="7">
        <f t="shared" si="9"/>
        <v>0</v>
      </c>
      <c r="U19" s="7">
        <f t="shared" si="2"/>
        <v>100000</v>
      </c>
      <c r="V19" s="7">
        <f t="shared" si="11"/>
        <v>100000</v>
      </c>
      <c r="W19" s="7"/>
      <c r="X19" s="7"/>
      <c r="Y19" s="6"/>
      <c r="Z19" s="6"/>
      <c r="AA19" s="6"/>
      <c r="AB19" s="6">
        <v>930000</v>
      </c>
    </row>
    <row r="20" spans="1:28" s="8" customFormat="1" x14ac:dyDescent="0.25">
      <c r="A20" s="6">
        <f t="shared" si="10"/>
        <v>13</v>
      </c>
      <c r="B20" s="6">
        <v>1654</v>
      </c>
      <c r="C20" s="6" t="s">
        <v>233</v>
      </c>
      <c r="D20" s="7">
        <v>7129000</v>
      </c>
      <c r="E20" s="7">
        <v>7129000</v>
      </c>
      <c r="F20" s="7">
        <f t="shared" si="3"/>
        <v>0</v>
      </c>
      <c r="G20" s="7">
        <v>7129000</v>
      </c>
      <c r="H20" s="7">
        <v>6934034.5999999996</v>
      </c>
      <c r="I20" s="7"/>
      <c r="J20" s="7"/>
      <c r="K20" s="7">
        <f t="shared" si="4"/>
        <v>0</v>
      </c>
      <c r="L20" s="7">
        <f t="shared" si="5"/>
        <v>6934034.5999999996</v>
      </c>
      <c r="M20" s="7">
        <f t="shared" si="6"/>
        <v>194965.40000000037</v>
      </c>
      <c r="N20" s="7"/>
      <c r="O20" s="7">
        <f t="shared" si="0"/>
        <v>0</v>
      </c>
      <c r="P20" s="7">
        <f t="shared" si="7"/>
        <v>194965.40000000037</v>
      </c>
      <c r="Q20" s="7"/>
      <c r="R20" s="7"/>
      <c r="S20" s="7">
        <f t="shared" si="8"/>
        <v>0</v>
      </c>
      <c r="T20" s="7">
        <f t="shared" si="9"/>
        <v>0</v>
      </c>
      <c r="U20" s="7">
        <f t="shared" si="2"/>
        <v>0</v>
      </c>
      <c r="V20" s="7">
        <f t="shared" si="11"/>
        <v>0</v>
      </c>
      <c r="W20" s="7"/>
      <c r="X20" s="7"/>
      <c r="Y20" s="6"/>
      <c r="Z20" s="6"/>
      <c r="AA20" s="6"/>
      <c r="AB20" s="6">
        <v>930000</v>
      </c>
    </row>
    <row r="21" spans="1:28" s="8" customFormat="1" x14ac:dyDescent="0.25">
      <c r="A21" s="6">
        <f t="shared" si="10"/>
        <v>14</v>
      </c>
      <c r="B21" s="6">
        <v>1666</v>
      </c>
      <c r="C21" s="6" t="s">
        <v>234</v>
      </c>
      <c r="D21" s="7">
        <v>335000</v>
      </c>
      <c r="E21" s="7">
        <v>335000</v>
      </c>
      <c r="F21" s="7">
        <f t="shared" si="3"/>
        <v>0</v>
      </c>
      <c r="G21" s="7">
        <v>335000</v>
      </c>
      <c r="H21" s="7">
        <v>331722.71000000002</v>
      </c>
      <c r="I21" s="7"/>
      <c r="J21" s="7"/>
      <c r="K21" s="7">
        <f t="shared" si="4"/>
        <v>0</v>
      </c>
      <c r="L21" s="7">
        <f t="shared" si="5"/>
        <v>331722.71000000002</v>
      </c>
      <c r="M21" s="7">
        <f t="shared" si="6"/>
        <v>3277.289999999979</v>
      </c>
      <c r="N21" s="7"/>
      <c r="O21" s="7">
        <f t="shared" si="0"/>
        <v>0</v>
      </c>
      <c r="P21" s="7">
        <f t="shared" si="7"/>
        <v>3277.289999999979</v>
      </c>
      <c r="Q21" s="7"/>
      <c r="R21" s="7"/>
      <c r="S21" s="7">
        <f t="shared" si="8"/>
        <v>0</v>
      </c>
      <c r="T21" s="7">
        <f t="shared" si="9"/>
        <v>0</v>
      </c>
      <c r="U21" s="7">
        <f t="shared" si="2"/>
        <v>0</v>
      </c>
      <c r="V21" s="7">
        <f t="shared" si="11"/>
        <v>0</v>
      </c>
      <c r="W21" s="7"/>
      <c r="X21" s="7"/>
      <c r="Y21" s="6"/>
      <c r="Z21" s="6"/>
      <c r="AA21" s="6"/>
      <c r="AB21" s="6">
        <v>930000</v>
      </c>
    </row>
    <row r="22" spans="1:28" s="8" customFormat="1" ht="27.6" x14ac:dyDescent="0.25">
      <c r="A22" s="6">
        <f t="shared" si="10"/>
        <v>15</v>
      </c>
      <c r="B22" s="6">
        <v>1687</v>
      </c>
      <c r="C22" s="6" t="s">
        <v>235</v>
      </c>
      <c r="D22" s="7">
        <v>900000</v>
      </c>
      <c r="E22" s="7">
        <v>900000</v>
      </c>
      <c r="F22" s="7">
        <f t="shared" si="3"/>
        <v>0</v>
      </c>
      <c r="G22" s="7">
        <v>574384</v>
      </c>
      <c r="H22" s="7">
        <v>444071</v>
      </c>
      <c r="I22" s="7"/>
      <c r="J22" s="7"/>
      <c r="K22" s="7">
        <f t="shared" si="4"/>
        <v>0</v>
      </c>
      <c r="L22" s="7">
        <f t="shared" si="5"/>
        <v>444071</v>
      </c>
      <c r="M22" s="7">
        <f>P22+S22-70000</f>
        <v>60313</v>
      </c>
      <c r="N22" s="7"/>
      <c r="O22" s="7">
        <f t="shared" si="0"/>
        <v>395616</v>
      </c>
      <c r="P22" s="7">
        <f t="shared" si="7"/>
        <v>130313</v>
      </c>
      <c r="Q22" s="7"/>
      <c r="R22" s="7"/>
      <c r="S22" s="7">
        <f t="shared" si="8"/>
        <v>0</v>
      </c>
      <c r="T22" s="7">
        <f t="shared" si="9"/>
        <v>70000</v>
      </c>
      <c r="U22" s="7">
        <f t="shared" si="2"/>
        <v>-70000</v>
      </c>
      <c r="V22" s="7">
        <f t="shared" si="11"/>
        <v>0</v>
      </c>
      <c r="W22" s="7">
        <v>-70000</v>
      </c>
      <c r="X22" s="7"/>
      <c r="Y22" s="6"/>
      <c r="Z22" s="6"/>
      <c r="AA22" s="6"/>
      <c r="AB22" s="6">
        <v>930000</v>
      </c>
    </row>
    <row r="23" spans="1:28" s="8" customFormat="1" x14ac:dyDescent="0.25">
      <c r="A23" s="6">
        <f t="shared" si="10"/>
        <v>16</v>
      </c>
      <c r="B23" s="6">
        <v>1704</v>
      </c>
      <c r="C23" s="6" t="s">
        <v>236</v>
      </c>
      <c r="D23" s="7">
        <v>5784000</v>
      </c>
      <c r="E23" s="7">
        <v>5784000</v>
      </c>
      <c r="F23" s="7">
        <f t="shared" si="3"/>
        <v>0</v>
      </c>
      <c r="G23" s="7">
        <v>5000</v>
      </c>
      <c r="H23" s="7">
        <v>1903.73</v>
      </c>
      <c r="I23" s="7"/>
      <c r="J23" s="7"/>
      <c r="K23" s="7">
        <f t="shared" ref="K23" si="12">SUM(I23:J23)</f>
        <v>0</v>
      </c>
      <c r="L23" s="7">
        <f t="shared" si="5"/>
        <v>1903.73</v>
      </c>
      <c r="M23" s="7">
        <f t="shared" si="6"/>
        <v>3096.27</v>
      </c>
      <c r="N23" s="7">
        <v>50000</v>
      </c>
      <c r="O23" s="7">
        <f t="shared" si="0"/>
        <v>5729000</v>
      </c>
      <c r="P23" s="7">
        <f t="shared" si="7"/>
        <v>3096.27</v>
      </c>
      <c r="Q23" s="7"/>
      <c r="R23" s="7"/>
      <c r="S23" s="7">
        <f t="shared" si="8"/>
        <v>0</v>
      </c>
      <c r="T23" s="7">
        <f t="shared" si="9"/>
        <v>0</v>
      </c>
      <c r="U23" s="7">
        <f t="shared" si="2"/>
        <v>50000</v>
      </c>
      <c r="V23" s="7">
        <f t="shared" si="11"/>
        <v>50000</v>
      </c>
      <c r="W23" s="7"/>
      <c r="X23" s="7"/>
      <c r="Y23" s="6"/>
      <c r="Z23" s="6"/>
      <c r="AA23" s="6"/>
      <c r="AB23" s="6">
        <v>930000</v>
      </c>
    </row>
    <row r="24" spans="1:28" s="8" customFormat="1" x14ac:dyDescent="0.25">
      <c r="A24" s="6">
        <f t="shared" si="10"/>
        <v>17</v>
      </c>
      <c r="B24" s="6">
        <v>1715</v>
      </c>
      <c r="C24" s="6" t="s">
        <v>237</v>
      </c>
      <c r="D24" s="7">
        <v>8645000</v>
      </c>
      <c r="E24" s="7">
        <v>8645000</v>
      </c>
      <c r="F24" s="7">
        <f t="shared" si="3"/>
        <v>0</v>
      </c>
      <c r="G24" s="7">
        <v>8150000</v>
      </c>
      <c r="H24" s="7">
        <v>8130200</v>
      </c>
      <c r="I24" s="7"/>
      <c r="J24" s="7"/>
      <c r="K24" s="7">
        <f t="shared" ref="K24:K26" si="13">SUM(I24:J24)</f>
        <v>0</v>
      </c>
      <c r="L24" s="7">
        <f t="shared" si="5"/>
        <v>8130200</v>
      </c>
      <c r="M24" s="7">
        <f t="shared" si="6"/>
        <v>19800</v>
      </c>
      <c r="N24" s="7">
        <v>100000</v>
      </c>
      <c r="O24" s="7">
        <f t="shared" si="0"/>
        <v>395000</v>
      </c>
      <c r="P24" s="7">
        <f t="shared" si="7"/>
        <v>19800</v>
      </c>
      <c r="Q24" s="7"/>
      <c r="R24" s="7"/>
      <c r="S24" s="7">
        <f t="shared" si="8"/>
        <v>0</v>
      </c>
      <c r="T24" s="7">
        <f t="shared" si="9"/>
        <v>0</v>
      </c>
      <c r="U24" s="7">
        <f t="shared" si="2"/>
        <v>100000</v>
      </c>
      <c r="V24" s="7">
        <f t="shared" si="11"/>
        <v>100000</v>
      </c>
      <c r="W24" s="7"/>
      <c r="X24" s="7"/>
      <c r="Y24" s="6"/>
      <c r="Z24" s="6"/>
      <c r="AA24" s="6"/>
      <c r="AB24" s="6">
        <v>930000</v>
      </c>
    </row>
    <row r="25" spans="1:28" s="8" customFormat="1" x14ac:dyDescent="0.25">
      <c r="A25" s="6">
        <f t="shared" si="10"/>
        <v>18</v>
      </c>
      <c r="B25" s="6">
        <v>1791</v>
      </c>
      <c r="C25" s="6" t="s">
        <v>623</v>
      </c>
      <c r="D25" s="7">
        <v>500000</v>
      </c>
      <c r="E25" s="7">
        <v>500000</v>
      </c>
      <c r="F25" s="7">
        <f t="shared" ref="F25" si="14">D25-E25</f>
        <v>0</v>
      </c>
      <c r="G25" s="7">
        <v>500000</v>
      </c>
      <c r="H25" s="7">
        <v>0</v>
      </c>
      <c r="I25" s="7"/>
      <c r="J25" s="7"/>
      <c r="K25" s="7">
        <f t="shared" ref="K25" si="15">SUM(I25:J25)</f>
        <v>0</v>
      </c>
      <c r="L25" s="7">
        <f t="shared" ref="L25" si="16">H25+K25</f>
        <v>0</v>
      </c>
      <c r="M25" s="7">
        <f t="shared" ref="M25" si="17">P25+S25</f>
        <v>500000</v>
      </c>
      <c r="N25" s="7"/>
      <c r="O25" s="7">
        <f t="shared" ref="O25" si="18">D25-L25-M25-N25</f>
        <v>0</v>
      </c>
      <c r="P25" s="7">
        <f t="shared" ref="P25" si="19">G25-L25</f>
        <v>500000</v>
      </c>
      <c r="Q25" s="7"/>
      <c r="R25" s="7"/>
      <c r="S25" s="7">
        <f t="shared" ref="S25" si="20">SUM(Q25:R25)</f>
        <v>0</v>
      </c>
      <c r="T25" s="7">
        <f t="shared" ref="T25" si="21">P25-M25+S25</f>
        <v>0</v>
      </c>
      <c r="U25" s="7">
        <f t="shared" ref="U25" si="22">N25-T25</f>
        <v>0</v>
      </c>
      <c r="V25" s="7">
        <f t="shared" ref="V25" si="23">U25-W25-X25-Y25</f>
        <v>0</v>
      </c>
      <c r="W25" s="7"/>
      <c r="X25" s="7"/>
      <c r="Y25" s="6"/>
      <c r="Z25" s="6"/>
      <c r="AA25" s="6"/>
      <c r="AB25" s="6">
        <v>930000</v>
      </c>
    </row>
    <row r="26" spans="1:28" s="8" customFormat="1" x14ac:dyDescent="0.25">
      <c r="A26" s="6">
        <f t="shared" si="10"/>
        <v>19</v>
      </c>
      <c r="B26" s="6">
        <v>1801</v>
      </c>
      <c r="C26" s="6" t="s">
        <v>380</v>
      </c>
      <c r="D26" s="7">
        <v>36000000</v>
      </c>
      <c r="E26" s="7">
        <v>36000000</v>
      </c>
      <c r="F26" s="7">
        <f t="shared" si="3"/>
        <v>0</v>
      </c>
      <c r="G26" s="7">
        <v>36000000</v>
      </c>
      <c r="H26" s="7">
        <v>27343124.190000001</v>
      </c>
      <c r="I26" s="7"/>
      <c r="J26" s="7"/>
      <c r="K26" s="7">
        <f t="shared" si="13"/>
        <v>0</v>
      </c>
      <c r="L26" s="7">
        <f t="shared" si="5"/>
        <v>27343124.190000001</v>
      </c>
      <c r="M26" s="7">
        <f t="shared" si="6"/>
        <v>8656875.8099999987</v>
      </c>
      <c r="N26" s="7"/>
      <c r="O26" s="7">
        <f t="shared" si="0"/>
        <v>0</v>
      </c>
      <c r="P26" s="7">
        <f t="shared" si="7"/>
        <v>8656875.8099999987</v>
      </c>
      <c r="Q26" s="7"/>
      <c r="R26" s="7"/>
      <c r="S26" s="7">
        <f t="shared" si="8"/>
        <v>0</v>
      </c>
      <c r="T26" s="7">
        <f t="shared" si="9"/>
        <v>0</v>
      </c>
      <c r="U26" s="7">
        <f t="shared" si="2"/>
        <v>0</v>
      </c>
      <c r="V26" s="7">
        <f t="shared" si="11"/>
        <v>0</v>
      </c>
      <c r="W26" s="7"/>
      <c r="X26" s="7"/>
      <c r="Y26" s="6"/>
      <c r="Z26" s="6"/>
      <c r="AA26" s="6"/>
      <c r="AB26" s="6">
        <v>930000</v>
      </c>
    </row>
    <row r="27" spans="1:28" s="8" customFormat="1" x14ac:dyDescent="0.25">
      <c r="A27" s="6">
        <f t="shared" si="10"/>
        <v>20</v>
      </c>
      <c r="B27" s="6">
        <v>1816</v>
      </c>
      <c r="C27" s="6" t="s">
        <v>624</v>
      </c>
      <c r="D27" s="7">
        <v>565000</v>
      </c>
      <c r="E27" s="7">
        <v>565000</v>
      </c>
      <c r="F27" s="7">
        <f t="shared" si="3"/>
        <v>0</v>
      </c>
      <c r="G27" s="7">
        <v>0</v>
      </c>
      <c r="H27" s="7">
        <v>0</v>
      </c>
      <c r="I27" s="7"/>
      <c r="J27" s="7"/>
      <c r="K27" s="7">
        <f t="shared" si="4"/>
        <v>0</v>
      </c>
      <c r="L27" s="7">
        <f t="shared" si="5"/>
        <v>0</v>
      </c>
      <c r="M27" s="7">
        <f t="shared" si="6"/>
        <v>565000</v>
      </c>
      <c r="N27" s="7"/>
      <c r="O27" s="7">
        <f t="shared" si="0"/>
        <v>0</v>
      </c>
      <c r="P27" s="7">
        <f t="shared" si="7"/>
        <v>0</v>
      </c>
      <c r="Q27" s="7"/>
      <c r="R27" s="7">
        <v>565000</v>
      </c>
      <c r="S27" s="7">
        <f t="shared" si="8"/>
        <v>565000</v>
      </c>
      <c r="T27" s="7">
        <f t="shared" si="9"/>
        <v>0</v>
      </c>
      <c r="U27" s="7">
        <f t="shared" si="2"/>
        <v>0</v>
      </c>
      <c r="V27" s="7">
        <f t="shared" si="11"/>
        <v>0</v>
      </c>
      <c r="W27" s="7"/>
      <c r="X27" s="7"/>
      <c r="Y27" s="6"/>
      <c r="Z27" s="6"/>
      <c r="AA27" s="3"/>
      <c r="AB27" s="6">
        <v>930000</v>
      </c>
    </row>
    <row r="28" spans="1:28" s="13" customFormat="1" ht="15.6" x14ac:dyDescent="0.25">
      <c r="A28" s="11">
        <f>A27</f>
        <v>20</v>
      </c>
      <c r="B28" s="11" t="s">
        <v>112</v>
      </c>
      <c r="C28" s="11" t="s">
        <v>238</v>
      </c>
      <c r="D28" s="12">
        <f t="shared" ref="D28:Y28" si="24">SUM(D8:D27)</f>
        <v>173209955</v>
      </c>
      <c r="E28" s="12">
        <f t="shared" si="24"/>
        <v>173209955</v>
      </c>
      <c r="F28" s="12">
        <f t="shared" si="24"/>
        <v>0</v>
      </c>
      <c r="G28" s="12">
        <f t="shared" si="24"/>
        <v>94813414</v>
      </c>
      <c r="H28" s="12">
        <f t="shared" si="24"/>
        <v>79039785.450000003</v>
      </c>
      <c r="I28" s="12">
        <f t="shared" si="24"/>
        <v>13201</v>
      </c>
      <c r="J28" s="12">
        <f t="shared" si="24"/>
        <v>0</v>
      </c>
      <c r="K28" s="12">
        <f t="shared" si="24"/>
        <v>13201</v>
      </c>
      <c r="L28" s="12">
        <f t="shared" si="24"/>
        <v>79052986.450000003</v>
      </c>
      <c r="M28" s="12">
        <f t="shared" si="24"/>
        <v>17747177.550000001</v>
      </c>
      <c r="N28" s="12">
        <f t="shared" si="24"/>
        <v>12400000</v>
      </c>
      <c r="O28" s="12">
        <f t="shared" si="24"/>
        <v>64009791</v>
      </c>
      <c r="P28" s="12">
        <f t="shared" si="24"/>
        <v>15760427.550000001</v>
      </c>
      <c r="Q28" s="12">
        <f t="shared" si="24"/>
        <v>1491750</v>
      </c>
      <c r="R28" s="12">
        <f t="shared" si="24"/>
        <v>565000</v>
      </c>
      <c r="S28" s="12">
        <f t="shared" si="24"/>
        <v>2056750</v>
      </c>
      <c r="T28" s="12">
        <f t="shared" si="24"/>
        <v>70000</v>
      </c>
      <c r="U28" s="12">
        <f t="shared" si="24"/>
        <v>12330000</v>
      </c>
      <c r="V28" s="12">
        <f t="shared" si="24"/>
        <v>9500000</v>
      </c>
      <c r="W28" s="12">
        <f t="shared" si="24"/>
        <v>-70000</v>
      </c>
      <c r="X28" s="12">
        <f t="shared" si="24"/>
        <v>2900000</v>
      </c>
      <c r="Y28" s="12">
        <f t="shared" si="24"/>
        <v>0</v>
      </c>
      <c r="Z28" s="11"/>
      <c r="AA28" s="11"/>
      <c r="AB28" s="11"/>
    </row>
    <row r="29" spans="1:28" s="8" customFormat="1" x14ac:dyDescent="0.25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 t="shared" ref="O29" si="25">D29-L29-M29-N29</f>
        <v>0</v>
      </c>
      <c r="P29" s="7"/>
      <c r="Q29" s="7"/>
      <c r="R29" s="7"/>
      <c r="S29" s="7"/>
      <c r="T29" s="7">
        <f t="shared" si="1"/>
        <v>0</v>
      </c>
      <c r="U29" s="7">
        <f t="shared" si="2"/>
        <v>0</v>
      </c>
      <c r="V29" s="7"/>
      <c r="W29" s="7"/>
      <c r="X29" s="7"/>
      <c r="Y29" s="6"/>
      <c r="Z29" s="6"/>
      <c r="AA29" s="6"/>
      <c r="AB29" s="6"/>
    </row>
    <row r="31" spans="1:28" x14ac:dyDescent="0.25">
      <c r="R31" s="19">
        <v>565000</v>
      </c>
      <c r="S31" s="19" t="s">
        <v>582</v>
      </c>
    </row>
    <row r="32" spans="1:28" x14ac:dyDescent="0.25">
      <c r="N32" s="18"/>
      <c r="P32" s="19" t="s">
        <v>577</v>
      </c>
    </row>
    <row r="33" spans="17:17" x14ac:dyDescent="0.25">
      <c r="Q33" s="19">
        <v>1491750</v>
      </c>
    </row>
  </sheetData>
  <sheetProtection algorithmName="SHA-512" hashValue="dwDK+u4F/KOSQx8Gg32uSGMQm+dVXjTJYVCQGxt+4nu75YgqoLY0zqUlSsUK3C3zPmo1gN/FV2Vc6oO5GSsJKQ==" saltValue="pwl47SWHve/XoQphnZMdTA==" spinCount="100000" sheet="1" formatCells="0" formatColumns="0" formatRows="0" insertColumns="0" insertRows="0" insertHyperlinks="0" deleteColumns="0" deleteRows="0" sort="0" autoFilter="0" pivotTables="0"/>
  <mergeCells count="2">
    <mergeCell ref="A2:X2"/>
    <mergeCell ref="A3:X3"/>
  </mergeCells>
  <printOptions horizontalCentered="1"/>
  <pageMargins left="0" right="0" top="0.78740157480314965" bottom="0.78740157480314965" header="0.51181102362204722" footer="0.51181102362204722"/>
  <pageSetup paperSize="9" scale="80" orientation="landscape" r:id="rId1"/>
  <headerFooter alignWithMargins="0">
    <oddFooter>&amp;Cעמוד &amp;P מתוך &amp;N&amp;Rמחלקת נכסים
עמוד 42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24"/>
  <sheetViews>
    <sheetView showZeros="0" rightToLeft="1" zoomScaleNormal="100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C35" sqref="C35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8.33203125" style="21" customWidth="1"/>
    <col min="4" max="5" width="12.6640625" style="19" bestFit="1" customWidth="1"/>
    <col min="6" max="6" width="11.109375" style="19" bestFit="1" customWidth="1"/>
    <col min="7" max="10" width="12.6640625" style="19" hidden="1" customWidth="1"/>
    <col min="11" max="11" width="11.33203125" style="19" hidden="1" customWidth="1"/>
    <col min="12" max="12" width="11.6640625" style="19" customWidth="1"/>
    <col min="13" max="13" width="10.33203125" style="19" customWidth="1"/>
    <col min="14" max="14" width="11.109375" style="19" bestFit="1" customWidth="1"/>
    <col min="15" max="15" width="12" style="19" customWidth="1"/>
    <col min="16" max="16" width="16.6640625" style="19" hidden="1" customWidth="1"/>
    <col min="17" max="17" width="11.88671875" style="19" hidden="1" customWidth="1"/>
    <col min="18" max="19" width="12" style="19" hidden="1" customWidth="1"/>
    <col min="20" max="20" width="10.44140625" style="19" hidden="1" customWidth="1"/>
    <col min="21" max="21" width="11.88671875" style="21" bestFit="1" customWidth="1"/>
    <col min="22" max="22" width="9" style="21" customWidth="1"/>
    <col min="23" max="23" width="10" style="21" customWidth="1"/>
    <col min="24" max="24" width="7.33203125" style="21" hidden="1" customWidth="1"/>
    <col min="25" max="25" width="10.44140625" style="21" customWidth="1"/>
    <col min="26" max="26" width="21.109375" style="20" hidden="1" customWidth="1"/>
    <col min="27" max="27" width="26.5546875" style="21" hidden="1" customWidth="1"/>
    <col min="28" max="28" width="7.88671875" style="21" hidden="1" customWidth="1"/>
    <col min="29" max="29" width="9.109375" style="21" customWidth="1"/>
    <col min="30" max="34" width="9.109375" style="21"/>
    <col min="35" max="35" width="9.109375" style="21" customWidth="1"/>
    <col min="36" max="36" width="9.109375" style="21"/>
    <col min="37" max="38" width="9.109375" style="21" customWidth="1"/>
    <col min="39" max="16384" width="9.109375" style="21"/>
  </cols>
  <sheetData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"/>
      <c r="Z2" s="69"/>
    </row>
    <row r="3" spans="1:28" ht="18" x14ac:dyDescent="0.35">
      <c r="A3" s="256" t="s">
        <v>627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5" spans="1:28" s="85" customFormat="1" ht="86.25" customHeight="1" x14ac:dyDescent="0.25">
      <c r="A5" s="5" t="s">
        <v>0</v>
      </c>
      <c r="B5" s="5" t="s">
        <v>1</v>
      </c>
      <c r="C5" s="5" t="s">
        <v>2</v>
      </c>
      <c r="D5" s="92" t="s">
        <v>300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359</v>
      </c>
      <c r="N5" s="5" t="s">
        <v>360</v>
      </c>
      <c r="O5" s="5" t="s">
        <v>361</v>
      </c>
      <c r="P5" s="5" t="s">
        <v>12</v>
      </c>
      <c r="Q5" s="5" t="s">
        <v>362</v>
      </c>
      <c r="R5" s="5" t="s">
        <v>363</v>
      </c>
      <c r="S5" s="5" t="s">
        <v>364</v>
      </c>
      <c r="T5" s="5" t="s">
        <v>365</v>
      </c>
      <c r="U5" s="5" t="s">
        <v>366</v>
      </c>
      <c r="V5" s="5" t="s">
        <v>13</v>
      </c>
      <c r="W5" s="5" t="s">
        <v>14</v>
      </c>
      <c r="X5" s="5" t="s">
        <v>15</v>
      </c>
      <c r="Y5" s="5" t="s">
        <v>285</v>
      </c>
      <c r="Z5" s="70" t="s">
        <v>16</v>
      </c>
      <c r="AA5" s="5" t="s">
        <v>17</v>
      </c>
      <c r="AB5" s="5" t="s">
        <v>18</v>
      </c>
    </row>
    <row r="6" spans="1:28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84"/>
      <c r="AA6" s="10"/>
      <c r="AB6" s="10"/>
    </row>
    <row r="7" spans="1:28" s="8" customFormat="1" x14ac:dyDescent="0.25">
      <c r="A7" s="6"/>
      <c r="B7" s="6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" si="0">D7-L7-M7-N7</f>
        <v>0</v>
      </c>
      <c r="P7" s="7"/>
      <c r="Q7" s="7"/>
      <c r="R7" s="7"/>
      <c r="S7" s="7"/>
      <c r="T7" s="7">
        <f t="shared" ref="T7:T21" si="1">P7-M7+R7</f>
        <v>0</v>
      </c>
      <c r="U7" s="7">
        <f t="shared" ref="U7:U21" si="2">N7-T7</f>
        <v>0</v>
      </c>
      <c r="V7" s="7"/>
      <c r="W7" s="7"/>
      <c r="X7" s="7"/>
      <c r="Y7" s="6"/>
      <c r="Z7" s="71"/>
      <c r="AA7" s="6"/>
      <c r="AB7" s="6"/>
    </row>
    <row r="8" spans="1:28" s="8" customFormat="1" x14ac:dyDescent="0.25">
      <c r="A8" s="6">
        <v>1</v>
      </c>
      <c r="B8" s="6">
        <v>1002</v>
      </c>
      <c r="C8" s="6" t="s">
        <v>211</v>
      </c>
      <c r="D8" s="7">
        <f>2660000-680000+100000</f>
        <v>2080000</v>
      </c>
      <c r="E8" s="7">
        <v>2660000</v>
      </c>
      <c r="F8" s="7">
        <f t="shared" ref="F8:F17" si="3">D8-E8</f>
        <v>-580000</v>
      </c>
      <c r="G8" s="7">
        <v>1980000</v>
      </c>
      <c r="H8" s="7">
        <v>1912742.06</v>
      </c>
      <c r="I8" s="7">
        <v>14487</v>
      </c>
      <c r="J8" s="7"/>
      <c r="K8" s="7">
        <f t="shared" ref="K8:K17" si="4">SUM(I8:J8)</f>
        <v>14487</v>
      </c>
      <c r="L8" s="7">
        <f t="shared" ref="L8:L17" si="5">H8+K8</f>
        <v>1927229.06</v>
      </c>
      <c r="M8" s="7">
        <f t="shared" ref="M8:M17" si="6">P8+S8</f>
        <v>52770.939999999944</v>
      </c>
      <c r="N8" s="15">
        <v>100000</v>
      </c>
      <c r="O8" s="7">
        <f t="shared" ref="O8:O14" si="7">(D8-L8-M8-N8)</f>
        <v>0</v>
      </c>
      <c r="P8" s="7">
        <f t="shared" ref="P8:P17" si="8">G8-L8</f>
        <v>52770.939999999944</v>
      </c>
      <c r="Q8" s="7"/>
      <c r="R8" s="7"/>
      <c r="S8" s="7">
        <f>SUM(Q8:R8)</f>
        <v>0</v>
      </c>
      <c r="T8" s="7">
        <f>P8-M8+S8</f>
        <v>0</v>
      </c>
      <c r="U8" s="15">
        <f>+N8-T8</f>
        <v>100000</v>
      </c>
      <c r="V8" s="7"/>
      <c r="W8" s="7">
        <f t="shared" ref="W8:W14" si="9">U8-V8-X8-Y8</f>
        <v>100000</v>
      </c>
      <c r="X8" s="7"/>
      <c r="Y8" s="6"/>
      <c r="Z8" s="71"/>
      <c r="AA8" s="6"/>
      <c r="AB8" s="6">
        <v>760000</v>
      </c>
    </row>
    <row r="9" spans="1:28" s="8" customFormat="1" x14ac:dyDescent="0.25">
      <c r="A9" s="6">
        <f t="shared" ref="A9:A17" si="10">A8+1</f>
        <v>2</v>
      </c>
      <c r="B9" s="6">
        <v>1110</v>
      </c>
      <c r="C9" s="6" t="s">
        <v>212</v>
      </c>
      <c r="D9" s="7">
        <f>2615000-230000</f>
        <v>2385000</v>
      </c>
      <c r="E9" s="7">
        <v>2615000</v>
      </c>
      <c r="F9" s="7">
        <f t="shared" si="3"/>
        <v>-230000</v>
      </c>
      <c r="G9" s="7">
        <v>2385000</v>
      </c>
      <c r="H9" s="7">
        <v>2325877.1</v>
      </c>
      <c r="I9" s="7">
        <v>7100.26</v>
      </c>
      <c r="J9" s="7"/>
      <c r="K9" s="7">
        <f t="shared" si="4"/>
        <v>7100.26</v>
      </c>
      <c r="L9" s="7">
        <f t="shared" si="5"/>
        <v>2332977.36</v>
      </c>
      <c r="M9" s="7">
        <f t="shared" si="6"/>
        <v>52022.64000000013</v>
      </c>
      <c r="N9" s="15"/>
      <c r="O9" s="7">
        <f t="shared" si="7"/>
        <v>0</v>
      </c>
      <c r="P9" s="7">
        <f t="shared" si="8"/>
        <v>52022.64000000013</v>
      </c>
      <c r="Q9" s="7"/>
      <c r="R9" s="7"/>
      <c r="S9" s="7">
        <f>SUM(Q9:R9)</f>
        <v>0</v>
      </c>
      <c r="T9" s="7">
        <f>P9-M9+S9</f>
        <v>0</v>
      </c>
      <c r="U9" s="15">
        <f t="shared" ref="U9:U17" si="11">N9-T9</f>
        <v>0</v>
      </c>
      <c r="V9" s="7"/>
      <c r="W9" s="7">
        <f t="shared" si="9"/>
        <v>0</v>
      </c>
      <c r="X9" s="7"/>
      <c r="Y9" s="6"/>
      <c r="Z9" s="71"/>
      <c r="AA9" s="6"/>
      <c r="AB9" s="6">
        <v>769000</v>
      </c>
    </row>
    <row r="10" spans="1:28" s="8" customFormat="1" x14ac:dyDescent="0.25">
      <c r="A10" s="6">
        <f t="shared" si="10"/>
        <v>3</v>
      </c>
      <c r="B10" s="6">
        <v>1190</v>
      </c>
      <c r="C10" s="6" t="s">
        <v>213</v>
      </c>
      <c r="D10" s="7">
        <f>2773842+900000-900000</f>
        <v>2773842</v>
      </c>
      <c r="E10" s="7">
        <v>2773842</v>
      </c>
      <c r="F10" s="7">
        <f t="shared" si="3"/>
        <v>0</v>
      </c>
      <c r="G10" s="7">
        <v>2773842</v>
      </c>
      <c r="H10" s="7">
        <v>2686886.77</v>
      </c>
      <c r="I10" s="7">
        <v>17700</v>
      </c>
      <c r="J10" s="7"/>
      <c r="K10" s="7">
        <f t="shared" si="4"/>
        <v>17700</v>
      </c>
      <c r="L10" s="7">
        <f t="shared" si="5"/>
        <v>2704586.77</v>
      </c>
      <c r="M10" s="7">
        <f t="shared" si="6"/>
        <v>69255.229999999981</v>
      </c>
      <c r="N10" s="15"/>
      <c r="O10" s="7">
        <f t="shared" si="7"/>
        <v>0</v>
      </c>
      <c r="P10" s="7">
        <f t="shared" si="8"/>
        <v>69255.229999999981</v>
      </c>
      <c r="Q10" s="7"/>
      <c r="R10" s="7"/>
      <c r="S10" s="7">
        <f>SUM(Q10:R10)</f>
        <v>0</v>
      </c>
      <c r="T10" s="7">
        <f>P10-M10+S10</f>
        <v>0</v>
      </c>
      <c r="U10" s="15">
        <f t="shared" si="11"/>
        <v>0</v>
      </c>
      <c r="V10" s="7"/>
      <c r="W10" s="7">
        <f t="shared" si="9"/>
        <v>0</v>
      </c>
      <c r="X10" s="7"/>
      <c r="Y10" s="6"/>
      <c r="Z10" s="71"/>
      <c r="AA10" s="6"/>
      <c r="AB10" s="6">
        <v>760000</v>
      </c>
    </row>
    <row r="11" spans="1:28" s="8" customFormat="1" x14ac:dyDescent="0.25">
      <c r="A11" s="6">
        <f t="shared" si="10"/>
        <v>4</v>
      </c>
      <c r="B11" s="6">
        <v>1421</v>
      </c>
      <c r="C11" s="6" t="s">
        <v>214</v>
      </c>
      <c r="D11" s="7">
        <f>800000+10000-50000</f>
        <v>760000</v>
      </c>
      <c r="E11" s="7">
        <v>800000</v>
      </c>
      <c r="F11" s="7">
        <f t="shared" si="3"/>
        <v>-40000</v>
      </c>
      <c r="G11" s="7">
        <v>760000</v>
      </c>
      <c r="H11" s="7">
        <v>713410.12</v>
      </c>
      <c r="I11" s="7">
        <v>8625.2099999999991</v>
      </c>
      <c r="J11" s="7"/>
      <c r="K11" s="7">
        <f t="shared" si="4"/>
        <v>8625.2099999999991</v>
      </c>
      <c r="L11" s="7">
        <f t="shared" si="5"/>
        <v>722035.33</v>
      </c>
      <c r="M11" s="7">
        <f t="shared" si="6"/>
        <v>37964.670000000042</v>
      </c>
      <c r="N11" s="15"/>
      <c r="O11" s="7">
        <f t="shared" si="7"/>
        <v>0</v>
      </c>
      <c r="P11" s="7">
        <f t="shared" si="8"/>
        <v>37964.670000000042</v>
      </c>
      <c r="Q11" s="7"/>
      <c r="R11" s="7"/>
      <c r="S11" s="7">
        <f>SUM(Q11:R11)</f>
        <v>0</v>
      </c>
      <c r="T11" s="7">
        <f>P11-M11+S11</f>
        <v>0</v>
      </c>
      <c r="U11" s="15">
        <f t="shared" si="11"/>
        <v>0</v>
      </c>
      <c r="V11" s="7"/>
      <c r="W11" s="7">
        <f t="shared" si="9"/>
        <v>0</v>
      </c>
      <c r="X11" s="7"/>
      <c r="Y11" s="6"/>
      <c r="Z11" s="71"/>
      <c r="AA11" s="6"/>
      <c r="AB11" s="6">
        <v>810000</v>
      </c>
    </row>
    <row r="12" spans="1:28" s="8" customFormat="1" x14ac:dyDescent="0.25">
      <c r="A12" s="6">
        <f t="shared" si="10"/>
        <v>5</v>
      </c>
      <c r="B12" s="6">
        <v>1497</v>
      </c>
      <c r="C12" s="6" t="s">
        <v>215</v>
      </c>
      <c r="D12" s="7">
        <v>8820000</v>
      </c>
      <c r="E12" s="7">
        <v>8820000</v>
      </c>
      <c r="F12" s="7">
        <f t="shared" si="3"/>
        <v>0</v>
      </c>
      <c r="G12" s="7">
        <v>2460000</v>
      </c>
      <c r="H12" s="7">
        <v>1694826.34</v>
      </c>
      <c r="I12" s="7">
        <v>243349.09</v>
      </c>
      <c r="J12" s="7">
        <v>487200</v>
      </c>
      <c r="K12" s="7">
        <f t="shared" si="4"/>
        <v>730549.09</v>
      </c>
      <c r="L12" s="7">
        <f t="shared" si="5"/>
        <v>2425375.4300000002</v>
      </c>
      <c r="M12" s="7">
        <f t="shared" si="6"/>
        <v>34624.569999999832</v>
      </c>
      <c r="N12" s="15">
        <v>150000</v>
      </c>
      <c r="O12" s="7">
        <f t="shared" si="7"/>
        <v>6210000</v>
      </c>
      <c r="P12" s="7">
        <f t="shared" si="8"/>
        <v>34624.569999999832</v>
      </c>
      <c r="Q12" s="7"/>
      <c r="R12" s="7"/>
      <c r="S12" s="7">
        <f>SUM(Q12:R12)</f>
        <v>0</v>
      </c>
      <c r="T12" s="7">
        <f>P12-M12+S12</f>
        <v>0</v>
      </c>
      <c r="U12" s="7">
        <f t="shared" si="11"/>
        <v>150000</v>
      </c>
      <c r="V12" s="7"/>
      <c r="W12" s="7">
        <f t="shared" si="9"/>
        <v>150000</v>
      </c>
      <c r="X12" s="7"/>
      <c r="Y12" s="6"/>
      <c r="Z12" s="71"/>
      <c r="AA12" s="6"/>
      <c r="AB12" s="6">
        <v>610000</v>
      </c>
    </row>
    <row r="13" spans="1:28" s="8" customFormat="1" x14ac:dyDescent="0.25">
      <c r="A13" s="6">
        <f t="shared" si="10"/>
        <v>6</v>
      </c>
      <c r="B13" s="14">
        <v>1507</v>
      </c>
      <c r="C13" s="6" t="s">
        <v>572</v>
      </c>
      <c r="D13" s="7">
        <f>3100000-1500000</f>
        <v>1600000</v>
      </c>
      <c r="E13" s="7">
        <v>3100000</v>
      </c>
      <c r="F13" s="7">
        <f t="shared" si="3"/>
        <v>-1500000</v>
      </c>
      <c r="G13" s="7">
        <v>1600000</v>
      </c>
      <c r="H13" s="7">
        <v>1342041.53</v>
      </c>
      <c r="I13" s="7">
        <v>129942</v>
      </c>
      <c r="J13" s="7"/>
      <c r="K13" s="7">
        <f t="shared" si="4"/>
        <v>129942</v>
      </c>
      <c r="L13" s="7">
        <f t="shared" si="5"/>
        <v>1471983.53</v>
      </c>
      <c r="M13" s="7">
        <f t="shared" si="6"/>
        <v>128016.46999999997</v>
      </c>
      <c r="N13" s="15"/>
      <c r="O13" s="7">
        <f t="shared" si="7"/>
        <v>0</v>
      </c>
      <c r="P13" s="7">
        <f t="shared" si="8"/>
        <v>128016.46999999997</v>
      </c>
      <c r="Q13" s="7"/>
      <c r="R13" s="7"/>
      <c r="S13" s="7"/>
      <c r="T13" s="7"/>
      <c r="U13" s="7">
        <f t="shared" si="11"/>
        <v>0</v>
      </c>
      <c r="V13" s="7"/>
      <c r="W13" s="7">
        <f t="shared" si="9"/>
        <v>0</v>
      </c>
      <c r="X13" s="7"/>
      <c r="Y13" s="6"/>
      <c r="Z13" s="71"/>
      <c r="AA13" s="6"/>
      <c r="AB13" s="6">
        <v>722000</v>
      </c>
    </row>
    <row r="14" spans="1:28" s="8" customFormat="1" x14ac:dyDescent="0.25">
      <c r="A14" s="6">
        <f t="shared" si="10"/>
        <v>7</v>
      </c>
      <c r="B14" s="6">
        <v>1647</v>
      </c>
      <c r="C14" s="6" t="s">
        <v>532</v>
      </c>
      <c r="D14" s="7">
        <f>2210000+2490000</f>
        <v>4700000</v>
      </c>
      <c r="E14" s="7">
        <v>2210000</v>
      </c>
      <c r="F14" s="7">
        <f t="shared" si="3"/>
        <v>2490000</v>
      </c>
      <c r="G14" s="7">
        <v>700000</v>
      </c>
      <c r="H14" s="7">
        <v>63860.18</v>
      </c>
      <c r="I14" s="7">
        <v>13286.4</v>
      </c>
      <c r="J14" s="7"/>
      <c r="K14" s="7">
        <f t="shared" si="4"/>
        <v>13286.4</v>
      </c>
      <c r="L14" s="7">
        <f t="shared" si="5"/>
        <v>77146.58</v>
      </c>
      <c r="M14" s="7">
        <f t="shared" si="6"/>
        <v>622853.42000000004</v>
      </c>
      <c r="N14" s="15">
        <f>750000+750000-750000</f>
        <v>750000</v>
      </c>
      <c r="O14" s="7">
        <f t="shared" si="7"/>
        <v>3250000</v>
      </c>
      <c r="P14" s="7">
        <f t="shared" si="8"/>
        <v>622853.42000000004</v>
      </c>
      <c r="Q14" s="7"/>
      <c r="R14" s="7"/>
      <c r="S14" s="7">
        <f>SUM(Q14:R14)</f>
        <v>0</v>
      </c>
      <c r="T14" s="7">
        <f>P14-M14+S14</f>
        <v>0</v>
      </c>
      <c r="U14" s="7">
        <f t="shared" si="11"/>
        <v>750000</v>
      </c>
      <c r="V14" s="15"/>
      <c r="W14" s="7">
        <f t="shared" si="9"/>
        <v>750000</v>
      </c>
      <c r="X14" s="7"/>
      <c r="Y14" s="6"/>
      <c r="Z14" s="71"/>
      <c r="AA14" s="6"/>
      <c r="AB14" s="6">
        <v>810000</v>
      </c>
    </row>
    <row r="15" spans="1:28" s="16" customFormat="1" x14ac:dyDescent="0.25">
      <c r="A15" s="6">
        <f t="shared" si="10"/>
        <v>8</v>
      </c>
      <c r="B15" s="6">
        <v>1790</v>
      </c>
      <c r="C15" s="6" t="s">
        <v>216</v>
      </c>
      <c r="D15" s="7">
        <v>315000</v>
      </c>
      <c r="E15" s="7">
        <v>315000</v>
      </c>
      <c r="F15" s="7">
        <f t="shared" si="3"/>
        <v>0</v>
      </c>
      <c r="G15" s="7">
        <v>180000</v>
      </c>
      <c r="H15" s="7">
        <v>3741</v>
      </c>
      <c r="I15" s="7">
        <v>176135.06</v>
      </c>
      <c r="J15" s="7"/>
      <c r="K15" s="7">
        <f t="shared" si="4"/>
        <v>176135.06</v>
      </c>
      <c r="L15" s="7">
        <f t="shared" si="5"/>
        <v>179876.06</v>
      </c>
      <c r="M15" s="7">
        <f t="shared" si="6"/>
        <v>123.94000000000233</v>
      </c>
      <c r="N15" s="98">
        <f>315000-180000</f>
        <v>135000</v>
      </c>
      <c r="O15" s="7">
        <f>D15-L15-M15-N15</f>
        <v>0</v>
      </c>
      <c r="P15" s="7">
        <f t="shared" si="8"/>
        <v>123.94000000000233</v>
      </c>
      <c r="Q15" s="7"/>
      <c r="R15" s="7"/>
      <c r="S15" s="7">
        <f>SUM(Q15:R15)</f>
        <v>0</v>
      </c>
      <c r="T15" s="7">
        <f>P15-M15+S15</f>
        <v>0</v>
      </c>
      <c r="U15" s="7">
        <f t="shared" si="11"/>
        <v>135000</v>
      </c>
      <c r="V15" s="7"/>
      <c r="W15" s="7">
        <f>U15-V15</f>
        <v>135000</v>
      </c>
      <c r="X15" s="7"/>
      <c r="Y15" s="6"/>
      <c r="Z15" s="71"/>
      <c r="AA15" s="6"/>
      <c r="AB15" s="6">
        <v>810000</v>
      </c>
    </row>
    <row r="16" spans="1:28" s="8" customFormat="1" x14ac:dyDescent="0.25">
      <c r="A16" s="6">
        <f t="shared" si="10"/>
        <v>9</v>
      </c>
      <c r="B16" s="14">
        <v>1802</v>
      </c>
      <c r="C16" s="6" t="s">
        <v>533</v>
      </c>
      <c r="D16" s="7">
        <v>2650000</v>
      </c>
      <c r="E16" s="7">
        <v>1500000</v>
      </c>
      <c r="F16" s="7">
        <f t="shared" si="3"/>
        <v>1150000</v>
      </c>
      <c r="G16" s="7"/>
      <c r="H16" s="7"/>
      <c r="I16" s="7"/>
      <c r="J16" s="7"/>
      <c r="K16" s="7">
        <f t="shared" si="4"/>
        <v>0</v>
      </c>
      <c r="L16" s="7">
        <f t="shared" si="5"/>
        <v>0</v>
      </c>
      <c r="M16" s="230">
        <f t="shared" si="6"/>
        <v>0</v>
      </c>
      <c r="N16" s="15">
        <v>2650000</v>
      </c>
      <c r="O16" s="232">
        <f>(D16-L16-M16-N16)</f>
        <v>0</v>
      </c>
      <c r="P16" s="7">
        <f t="shared" si="8"/>
        <v>0</v>
      </c>
      <c r="Q16" s="7"/>
      <c r="R16" s="7"/>
      <c r="S16" s="7"/>
      <c r="T16" s="7"/>
      <c r="U16" s="7">
        <f t="shared" si="11"/>
        <v>2650000</v>
      </c>
      <c r="V16" s="7"/>
      <c r="W16" s="7">
        <f>U16-V16-X16-Y16</f>
        <v>0</v>
      </c>
      <c r="X16" s="7"/>
      <c r="Y16" s="7">
        <v>2650000</v>
      </c>
      <c r="Z16" s="71"/>
      <c r="AA16" s="6"/>
      <c r="AB16" s="6">
        <v>810000</v>
      </c>
    </row>
    <row r="17" spans="1:28" s="8" customFormat="1" x14ac:dyDescent="0.25">
      <c r="A17" s="6">
        <f t="shared" si="10"/>
        <v>10</v>
      </c>
      <c r="B17" s="14">
        <v>1871</v>
      </c>
      <c r="C17" s="6" t="s">
        <v>534</v>
      </c>
      <c r="D17" s="7">
        <v>11000000</v>
      </c>
      <c r="E17" s="7"/>
      <c r="F17" s="7">
        <f t="shared" si="3"/>
        <v>11000000</v>
      </c>
      <c r="G17" s="7"/>
      <c r="H17" s="7"/>
      <c r="I17" s="7"/>
      <c r="J17" s="7"/>
      <c r="K17" s="7">
        <f t="shared" si="4"/>
        <v>0</v>
      </c>
      <c r="L17" s="7">
        <f t="shared" si="5"/>
        <v>0</v>
      </c>
      <c r="M17" s="230">
        <f t="shared" si="6"/>
        <v>0</v>
      </c>
      <c r="N17" s="15">
        <f>1000000+500000-500000</f>
        <v>1000000</v>
      </c>
      <c r="O17" s="232">
        <f>(D17-L17-M17-N17)</f>
        <v>10000000</v>
      </c>
      <c r="P17" s="7">
        <f t="shared" si="8"/>
        <v>0</v>
      </c>
      <c r="Q17" s="7"/>
      <c r="R17" s="7"/>
      <c r="S17" s="7"/>
      <c r="T17" s="7"/>
      <c r="U17" s="7">
        <f t="shared" si="11"/>
        <v>1000000</v>
      </c>
      <c r="V17" s="15">
        <v>1000000</v>
      </c>
      <c r="W17" s="7">
        <f>U17-V17-X17-Y17</f>
        <v>0</v>
      </c>
      <c r="X17" s="7"/>
      <c r="Y17" s="6"/>
      <c r="Z17" s="71"/>
      <c r="AA17" s="6"/>
      <c r="AB17" s="6">
        <v>760000</v>
      </c>
    </row>
    <row r="18" spans="1:28" s="187" customFormat="1" x14ac:dyDescent="0.25">
      <c r="A18" s="22">
        <f>A17</f>
        <v>10</v>
      </c>
      <c r="B18" s="22"/>
      <c r="C18" s="22" t="s">
        <v>610</v>
      </c>
      <c r="D18" s="94">
        <f t="shared" ref="D18:Y18" si="12">SUM(D8:D17)</f>
        <v>37083842</v>
      </c>
      <c r="E18" s="94">
        <f t="shared" si="12"/>
        <v>24793842</v>
      </c>
      <c r="F18" s="94">
        <f t="shared" si="12"/>
        <v>12290000</v>
      </c>
      <c r="G18" s="94">
        <f t="shared" si="12"/>
        <v>12838842</v>
      </c>
      <c r="H18" s="94">
        <f t="shared" si="12"/>
        <v>10743385.1</v>
      </c>
      <c r="I18" s="94">
        <f t="shared" si="12"/>
        <v>610625.02</v>
      </c>
      <c r="J18" s="94">
        <f t="shared" si="12"/>
        <v>487200</v>
      </c>
      <c r="K18" s="94">
        <f t="shared" si="12"/>
        <v>1097825.02</v>
      </c>
      <c r="L18" s="94">
        <f t="shared" si="12"/>
        <v>11841210.119999999</v>
      </c>
      <c r="M18" s="231">
        <f t="shared" si="12"/>
        <v>997631.87999999989</v>
      </c>
      <c r="N18" s="94">
        <f t="shared" si="12"/>
        <v>4785000</v>
      </c>
      <c r="O18" s="203">
        <f t="shared" si="12"/>
        <v>19460000</v>
      </c>
      <c r="P18" s="94">
        <f t="shared" si="12"/>
        <v>997631.87999999989</v>
      </c>
      <c r="Q18" s="94">
        <f t="shared" si="12"/>
        <v>0</v>
      </c>
      <c r="R18" s="94">
        <f t="shared" si="12"/>
        <v>0</v>
      </c>
      <c r="S18" s="94">
        <f t="shared" si="12"/>
        <v>0</v>
      </c>
      <c r="T18" s="94">
        <f t="shared" si="12"/>
        <v>0</v>
      </c>
      <c r="U18" s="94">
        <f t="shared" si="12"/>
        <v>4785000</v>
      </c>
      <c r="V18" s="94">
        <f t="shared" si="12"/>
        <v>1000000</v>
      </c>
      <c r="W18" s="94">
        <f t="shared" si="12"/>
        <v>1135000</v>
      </c>
      <c r="X18" s="94">
        <f t="shared" si="12"/>
        <v>0</v>
      </c>
      <c r="Y18" s="94">
        <f t="shared" si="12"/>
        <v>2650000</v>
      </c>
      <c r="Z18" s="186"/>
      <c r="AA18" s="22"/>
      <c r="AB18" s="6"/>
    </row>
    <row r="19" spans="1:28" s="187" customFormat="1" x14ac:dyDescent="0.25">
      <c r="A19" s="22"/>
      <c r="B19" s="22"/>
      <c r="C19" s="22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188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186"/>
      <c r="AA19" s="22"/>
      <c r="AB19" s="22"/>
    </row>
    <row r="20" spans="1:28" s="187" customFormat="1" x14ac:dyDescent="0.25">
      <c r="A20" s="22"/>
      <c r="B20" s="22"/>
      <c r="C20" s="22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188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186"/>
      <c r="AA20" s="22"/>
      <c r="AB20" s="22"/>
    </row>
    <row r="21" spans="1:28" s="8" customFormat="1" x14ac:dyDescent="0.25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>D21-L21-M21-N21</f>
        <v>0</v>
      </c>
      <c r="P21" s="7"/>
      <c r="Q21" s="7"/>
      <c r="R21" s="7"/>
      <c r="S21" s="7"/>
      <c r="T21" s="7">
        <f t="shared" si="1"/>
        <v>0</v>
      </c>
      <c r="U21" s="7">
        <f t="shared" si="2"/>
        <v>0</v>
      </c>
      <c r="V21" s="7"/>
      <c r="W21" s="7"/>
      <c r="X21" s="7"/>
      <c r="Y21" s="6"/>
      <c r="Z21" s="71"/>
      <c r="AA21" s="6"/>
      <c r="AB21" s="6"/>
    </row>
    <row r="23" spans="1:28" x14ac:dyDescent="0.25">
      <c r="V23" s="244">
        <f>V18/$U$18%</f>
        <v>20.898641588296762</v>
      </c>
      <c r="W23" s="244">
        <f t="shared" ref="W23:Y23" si="13">W18/$U$18%</f>
        <v>23.719958202716825</v>
      </c>
      <c r="X23" s="244">
        <f t="shared" si="13"/>
        <v>0</v>
      </c>
      <c r="Y23" s="244">
        <f t="shared" si="13"/>
        <v>55.381400208986413</v>
      </c>
      <c r="AB23" s="244">
        <f>SUM(V23:Y23)</f>
        <v>100</v>
      </c>
    </row>
    <row r="24" spans="1:28" x14ac:dyDescent="0.25">
      <c r="N24" s="189"/>
      <c r="P24" s="189" t="s">
        <v>535</v>
      </c>
      <c r="Q24" s="190" t="s">
        <v>536</v>
      </c>
      <c r="R24" s="190" t="s">
        <v>537</v>
      </c>
    </row>
  </sheetData>
  <sheetProtection algorithmName="SHA-512" hashValue="D5o167DO+YUn7/A3OmCoq53JBuxpFZVa+NmuBLmLgHm3Nqf9dCuKTEyfcDh+p/PieAjtoeyM4LjLNuB1lPSTpg==" saltValue="+SmHyFwoRi/aK7uc3mg18Q==" spinCount="100000" sheet="1" formatCells="0" formatColumns="0" formatRows="0" insertColumns="0" insertRows="0" insertHyperlinks="0" deleteColumns="0" deleteRows="0"/>
  <sortState ref="A8:AB19">
    <sortCondition ref="B8:B19"/>
  </sortState>
  <mergeCells count="2">
    <mergeCell ref="A2:W2"/>
    <mergeCell ref="A3:W3"/>
  </mergeCells>
  <printOptions horizontalCentered="1"/>
  <pageMargins left="0.23622047244094491" right="0.23622047244094491" top="0.78740157480314965" bottom="0.78740157480314965" header="0.31496062992125984" footer="0.31496062992125984"/>
  <pageSetup paperSize="9" scale="80" fitToWidth="2" orientation="landscape" r:id="rId1"/>
  <headerFooter alignWithMargins="0">
    <oddFooter>&amp;Cעמוד &amp;P מתוך &amp;N&amp;Rיחידת מיחשוב
עמוד 41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K32"/>
  <sheetViews>
    <sheetView showZeros="0" rightToLeft="1" zoomScaleNormal="10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O30" sqref="O30"/>
    </sheetView>
  </sheetViews>
  <sheetFormatPr defaultColWidth="9.109375" defaultRowHeight="13.8" x14ac:dyDescent="0.25"/>
  <cols>
    <col min="1" max="1" width="5.33203125" style="20" customWidth="1"/>
    <col min="2" max="2" width="5.109375" style="21" customWidth="1"/>
    <col min="3" max="3" width="36.6640625" style="21" customWidth="1"/>
    <col min="4" max="4" width="12.6640625" style="19" bestFit="1" customWidth="1"/>
    <col min="5" max="5" width="10.109375" style="19" bestFit="1" customWidth="1"/>
    <col min="6" max="6" width="9.109375" style="19" bestFit="1" customWidth="1"/>
    <col min="7" max="10" width="12.6640625" style="19" hidden="1" customWidth="1"/>
    <col min="11" max="11" width="11.33203125" style="19" hidden="1" customWidth="1"/>
    <col min="12" max="12" width="9.109375" style="19" customWidth="1"/>
    <col min="13" max="13" width="10.88671875" style="19" customWidth="1"/>
    <col min="14" max="14" width="9.109375" style="19" bestFit="1" customWidth="1"/>
    <col min="15" max="15" width="10.5546875" style="19" customWidth="1"/>
    <col min="16" max="17" width="11.109375" style="19" hidden="1" customWidth="1"/>
    <col min="18" max="19" width="12" style="19" hidden="1" customWidth="1"/>
    <col min="20" max="20" width="10.33203125" style="19" hidden="1" customWidth="1"/>
    <col min="21" max="21" width="11.88671875" style="21" bestFit="1" customWidth="1"/>
    <col min="22" max="22" width="11.88671875" style="21" customWidth="1"/>
    <col min="23" max="23" width="9.88671875" style="21" customWidth="1"/>
    <col min="24" max="24" width="11.88671875" style="21" hidden="1" customWidth="1"/>
    <col min="25" max="25" width="8.5546875" style="21" customWidth="1"/>
    <col min="26" max="26" width="42" style="21" hidden="1" customWidth="1"/>
    <col min="27" max="27" width="39.88671875" style="21" hidden="1" customWidth="1"/>
    <col min="28" max="28" width="7.88671875" style="21" hidden="1" customWidth="1"/>
    <col min="29" max="29" width="9.109375" style="21" hidden="1" customWidth="1"/>
    <col min="30" max="16384" width="9.109375" style="21"/>
  </cols>
  <sheetData>
    <row r="2" spans="1:89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"/>
    </row>
    <row r="3" spans="1:89" ht="18" x14ac:dyDescent="0.35">
      <c r="A3" s="256" t="s">
        <v>336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</row>
    <row r="5" spans="1:89" s="85" customFormat="1" ht="86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359</v>
      </c>
      <c r="N5" s="175" t="s">
        <v>360</v>
      </c>
      <c r="O5" s="5" t="s">
        <v>361</v>
      </c>
      <c r="P5" s="5" t="s">
        <v>12</v>
      </c>
      <c r="Q5" s="5" t="s">
        <v>362</v>
      </c>
      <c r="R5" s="5" t="s">
        <v>363</v>
      </c>
      <c r="S5" s="5" t="s">
        <v>364</v>
      </c>
      <c r="T5" s="5" t="s">
        <v>365</v>
      </c>
      <c r="U5" s="92" t="s">
        <v>366</v>
      </c>
      <c r="V5" s="92" t="s">
        <v>13</v>
      </c>
      <c r="W5" s="92" t="s">
        <v>14</v>
      </c>
      <c r="X5" s="5" t="s">
        <v>15</v>
      </c>
      <c r="Y5" s="5" t="s">
        <v>285</v>
      </c>
      <c r="Z5" s="5" t="s">
        <v>16</v>
      </c>
      <c r="AA5" s="5" t="s">
        <v>17</v>
      </c>
      <c r="AB5" s="5" t="s">
        <v>18</v>
      </c>
    </row>
    <row r="6" spans="1:89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10"/>
      <c r="AA6" s="10"/>
      <c r="AB6" s="10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</row>
    <row r="7" spans="1:89" s="8" customFormat="1" x14ac:dyDescent="0.25">
      <c r="A7" s="6">
        <f>A6+1</f>
        <v>1</v>
      </c>
      <c r="B7" s="6">
        <v>1519</v>
      </c>
      <c r="C7" s="6" t="s">
        <v>280</v>
      </c>
      <c r="D7" s="7">
        <v>2030000</v>
      </c>
      <c r="E7" s="7">
        <v>2030000</v>
      </c>
      <c r="F7" s="7">
        <f t="shared" ref="F7:F15" si="0">D7-E7</f>
        <v>0</v>
      </c>
      <c r="G7" s="7">
        <v>530000</v>
      </c>
      <c r="H7" s="7">
        <v>402516</v>
      </c>
      <c r="I7" s="7"/>
      <c r="J7" s="7"/>
      <c r="K7" s="7">
        <f t="shared" ref="K7:K15" si="1">SUM(I7:J7)</f>
        <v>0</v>
      </c>
      <c r="L7" s="7">
        <f t="shared" ref="L7:L18" si="2">H7+K7</f>
        <v>402516</v>
      </c>
      <c r="M7" s="7">
        <f t="shared" ref="M7:M18" si="3">P7+S7</f>
        <v>127484</v>
      </c>
      <c r="N7" s="7"/>
      <c r="O7" s="7">
        <f t="shared" ref="O7:O14" si="4">D7-L7-M7-N7</f>
        <v>1500000</v>
      </c>
      <c r="P7" s="7">
        <f t="shared" ref="P7:P18" si="5">G7-L7</f>
        <v>127484</v>
      </c>
      <c r="Q7" s="7"/>
      <c r="R7" s="7"/>
      <c r="S7" s="7">
        <f t="shared" ref="S7:S22" si="6">SUM(Q7:R7)</f>
        <v>0</v>
      </c>
      <c r="T7" s="7">
        <f t="shared" ref="T7:T22" si="7">P7-M7+S7</f>
        <v>0</v>
      </c>
      <c r="U7" s="7">
        <f>N7-T7</f>
        <v>0</v>
      </c>
      <c r="V7" s="7">
        <f t="shared" ref="V7:V11" si="8">U7-W7-X7-Y7</f>
        <v>0</v>
      </c>
      <c r="W7" s="7"/>
      <c r="X7" s="7"/>
      <c r="Y7" s="6"/>
      <c r="Z7" s="6"/>
      <c r="AA7" s="6"/>
      <c r="AB7" s="6">
        <v>732000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</row>
    <row r="8" spans="1:89" s="8" customFormat="1" x14ac:dyDescent="0.25">
      <c r="A8" s="6">
        <f>1+A7</f>
        <v>2</v>
      </c>
      <c r="B8" s="6">
        <v>1707</v>
      </c>
      <c r="C8" s="6" t="s">
        <v>281</v>
      </c>
      <c r="D8" s="7">
        <v>500000</v>
      </c>
      <c r="E8" s="7">
        <v>500000</v>
      </c>
      <c r="F8" s="7">
        <f t="shared" si="0"/>
        <v>0</v>
      </c>
      <c r="G8" s="7">
        <v>500000</v>
      </c>
      <c r="H8" s="7">
        <v>500000</v>
      </c>
      <c r="I8" s="7"/>
      <c r="J8" s="7"/>
      <c r="K8" s="7">
        <f t="shared" si="1"/>
        <v>0</v>
      </c>
      <c r="L8" s="7">
        <f t="shared" si="2"/>
        <v>500000</v>
      </c>
      <c r="M8" s="7">
        <f t="shared" si="3"/>
        <v>0</v>
      </c>
      <c r="N8" s="7"/>
      <c r="O8" s="7">
        <f t="shared" si="4"/>
        <v>0</v>
      </c>
      <c r="P8" s="7">
        <f t="shared" si="5"/>
        <v>0</v>
      </c>
      <c r="Q8" s="7"/>
      <c r="R8" s="7"/>
      <c r="S8" s="7">
        <f t="shared" si="6"/>
        <v>0</v>
      </c>
      <c r="T8" s="7">
        <f t="shared" si="7"/>
        <v>0</v>
      </c>
      <c r="U8" s="7">
        <f>N8-T8</f>
        <v>0</v>
      </c>
      <c r="V8" s="7">
        <f t="shared" si="8"/>
        <v>0</v>
      </c>
      <c r="W8" s="7"/>
      <c r="X8" s="7"/>
      <c r="Y8" s="6"/>
      <c r="Z8" s="6"/>
      <c r="AA8" s="6"/>
      <c r="AB8" s="6">
        <v>742000</v>
      </c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</row>
    <row r="9" spans="1:89" s="8" customFormat="1" x14ac:dyDescent="0.25">
      <c r="A9" s="6">
        <f t="shared" ref="A9:A15" si="9">1+A8</f>
        <v>3</v>
      </c>
      <c r="B9" s="6">
        <v>1708</v>
      </c>
      <c r="C9" s="6" t="s">
        <v>282</v>
      </c>
      <c r="D9" s="7">
        <v>1500000</v>
      </c>
      <c r="E9" s="7">
        <v>1500000</v>
      </c>
      <c r="F9" s="7">
        <f t="shared" si="0"/>
        <v>0</v>
      </c>
      <c r="G9" s="7">
        <v>1500000</v>
      </c>
      <c r="H9" s="7">
        <v>1500000</v>
      </c>
      <c r="I9" s="7"/>
      <c r="J9" s="7"/>
      <c r="K9" s="7">
        <f t="shared" si="1"/>
        <v>0</v>
      </c>
      <c r="L9" s="7">
        <f t="shared" si="2"/>
        <v>1500000</v>
      </c>
      <c r="M9" s="7">
        <f t="shared" si="3"/>
        <v>0</v>
      </c>
      <c r="N9" s="7">
        <v>0</v>
      </c>
      <c r="O9" s="7">
        <f t="shared" si="4"/>
        <v>0</v>
      </c>
      <c r="P9" s="7">
        <f t="shared" si="5"/>
        <v>0</v>
      </c>
      <c r="Q9" s="7"/>
      <c r="R9" s="7"/>
      <c r="S9" s="7">
        <f t="shared" si="6"/>
        <v>0</v>
      </c>
      <c r="T9" s="7">
        <f t="shared" si="7"/>
        <v>0</v>
      </c>
      <c r="U9" s="127"/>
      <c r="V9" s="7">
        <f t="shared" si="8"/>
        <v>0</v>
      </c>
      <c r="W9" s="7"/>
      <c r="X9" s="7"/>
      <c r="Y9" s="6"/>
      <c r="Z9" s="6"/>
      <c r="AA9" s="6"/>
      <c r="AB9" s="6">
        <v>747000</v>
      </c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</row>
    <row r="10" spans="1:89" s="9" customFormat="1" x14ac:dyDescent="0.25">
      <c r="A10" s="6">
        <f t="shared" si="9"/>
        <v>4</v>
      </c>
      <c r="B10" s="6">
        <v>1784</v>
      </c>
      <c r="C10" s="6" t="s">
        <v>292</v>
      </c>
      <c r="D10" s="7">
        <v>150000</v>
      </c>
      <c r="E10" s="7">
        <v>150000</v>
      </c>
      <c r="F10" s="7">
        <f t="shared" si="0"/>
        <v>0</v>
      </c>
      <c r="G10" s="7">
        <v>150000</v>
      </c>
      <c r="H10" s="7"/>
      <c r="I10" s="7"/>
      <c r="J10" s="7"/>
      <c r="K10" s="7">
        <f t="shared" si="1"/>
        <v>0</v>
      </c>
      <c r="L10" s="7">
        <f t="shared" si="2"/>
        <v>0</v>
      </c>
      <c r="M10" s="7">
        <f t="shared" si="3"/>
        <v>150000</v>
      </c>
      <c r="N10" s="7"/>
      <c r="O10" s="7">
        <f t="shared" si="4"/>
        <v>0</v>
      </c>
      <c r="P10" s="7">
        <f t="shared" si="5"/>
        <v>150000</v>
      </c>
      <c r="Q10" s="7"/>
      <c r="R10" s="7"/>
      <c r="S10" s="7">
        <f t="shared" si="6"/>
        <v>0</v>
      </c>
      <c r="T10" s="7">
        <f t="shared" si="7"/>
        <v>0</v>
      </c>
      <c r="U10" s="7">
        <f>N10-T10</f>
        <v>0</v>
      </c>
      <c r="V10" s="7">
        <f t="shared" si="8"/>
        <v>0</v>
      </c>
      <c r="W10" s="7"/>
      <c r="X10" s="7"/>
      <c r="Y10" s="6"/>
      <c r="Z10" s="6"/>
      <c r="AA10" s="6"/>
      <c r="AB10" s="6">
        <v>747000</v>
      </c>
      <c r="AC10" s="8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</row>
    <row r="11" spans="1:89" s="9" customFormat="1" x14ac:dyDescent="0.25">
      <c r="A11" s="6">
        <f t="shared" si="9"/>
        <v>5</v>
      </c>
      <c r="B11" s="6">
        <v>1785</v>
      </c>
      <c r="C11" s="6" t="s">
        <v>294</v>
      </c>
      <c r="D11" s="7">
        <v>250000</v>
      </c>
      <c r="E11" s="7">
        <v>250000</v>
      </c>
      <c r="F11" s="7">
        <f t="shared" si="0"/>
        <v>0</v>
      </c>
      <c r="G11" s="7"/>
      <c r="H11" s="7"/>
      <c r="I11" s="7"/>
      <c r="J11" s="7"/>
      <c r="K11" s="7">
        <f t="shared" si="1"/>
        <v>0</v>
      </c>
      <c r="L11" s="7">
        <f t="shared" si="2"/>
        <v>0</v>
      </c>
      <c r="M11" s="7">
        <f t="shared" si="3"/>
        <v>150000</v>
      </c>
      <c r="N11" s="7"/>
      <c r="O11" s="7">
        <f t="shared" si="4"/>
        <v>100000</v>
      </c>
      <c r="P11" s="7">
        <f t="shared" si="5"/>
        <v>0</v>
      </c>
      <c r="Q11" s="7">
        <v>150000</v>
      </c>
      <c r="R11" s="7"/>
      <c r="S11" s="7">
        <f t="shared" si="6"/>
        <v>150000</v>
      </c>
      <c r="T11" s="7">
        <f t="shared" si="7"/>
        <v>0</v>
      </c>
      <c r="U11" s="7">
        <f t="shared" ref="U11:U21" si="10">N11-T11</f>
        <v>0</v>
      </c>
      <c r="V11" s="7">
        <f t="shared" si="8"/>
        <v>0</v>
      </c>
      <c r="W11" s="7"/>
      <c r="X11" s="7"/>
      <c r="Y11" s="6"/>
      <c r="Z11" s="6"/>
      <c r="AA11" s="6"/>
      <c r="AB11" s="6">
        <v>742000</v>
      </c>
      <c r="AC11" s="8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</row>
    <row r="12" spans="1:89" s="8" customFormat="1" x14ac:dyDescent="0.25">
      <c r="A12" s="6">
        <f t="shared" si="9"/>
        <v>6</v>
      </c>
      <c r="B12" s="6">
        <v>1786</v>
      </c>
      <c r="C12" s="6" t="s">
        <v>290</v>
      </c>
      <c r="D12" s="7">
        <v>1000000</v>
      </c>
      <c r="E12" s="7">
        <v>1000000</v>
      </c>
      <c r="F12" s="7">
        <f t="shared" si="0"/>
        <v>0</v>
      </c>
      <c r="G12" s="7"/>
      <c r="H12" s="7"/>
      <c r="I12" s="7"/>
      <c r="J12" s="7"/>
      <c r="K12" s="7">
        <f t="shared" si="1"/>
        <v>0</v>
      </c>
      <c r="L12" s="7">
        <f t="shared" si="2"/>
        <v>0</v>
      </c>
      <c r="M12" s="7">
        <f t="shared" si="3"/>
        <v>500000</v>
      </c>
      <c r="N12" s="7"/>
      <c r="O12" s="7">
        <f t="shared" si="4"/>
        <v>500000</v>
      </c>
      <c r="P12" s="7">
        <f t="shared" si="5"/>
        <v>0</v>
      </c>
      <c r="Q12" s="7">
        <v>500000</v>
      </c>
      <c r="R12" s="7"/>
      <c r="S12" s="7">
        <f t="shared" si="6"/>
        <v>500000</v>
      </c>
      <c r="T12" s="7">
        <f t="shared" si="7"/>
        <v>0</v>
      </c>
      <c r="U12" s="7">
        <f t="shared" si="10"/>
        <v>0</v>
      </c>
      <c r="V12" s="7">
        <f t="shared" ref="V12:V22" si="11">U12-W12-X12-Y12</f>
        <v>0</v>
      </c>
      <c r="W12" s="7"/>
      <c r="X12" s="7"/>
      <c r="Y12" s="6"/>
      <c r="Z12" s="6"/>
      <c r="AA12" s="6"/>
      <c r="AB12" s="6">
        <v>742000</v>
      </c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</row>
    <row r="13" spans="1:89" s="8" customFormat="1" x14ac:dyDescent="0.25">
      <c r="A13" s="6">
        <f t="shared" si="9"/>
        <v>7</v>
      </c>
      <c r="B13" s="6">
        <v>1787</v>
      </c>
      <c r="C13" s="6" t="s">
        <v>347</v>
      </c>
      <c r="D13" s="7">
        <v>1700000</v>
      </c>
      <c r="E13" s="7">
        <v>1700000</v>
      </c>
      <c r="F13" s="7">
        <f t="shared" si="0"/>
        <v>0</v>
      </c>
      <c r="G13" s="7"/>
      <c r="H13" s="7"/>
      <c r="I13" s="7"/>
      <c r="J13" s="7"/>
      <c r="K13" s="7">
        <f t="shared" si="1"/>
        <v>0</v>
      </c>
      <c r="L13" s="7">
        <f t="shared" si="2"/>
        <v>0</v>
      </c>
      <c r="M13" s="7">
        <f t="shared" si="3"/>
        <v>850000</v>
      </c>
      <c r="N13" s="7"/>
      <c r="O13" s="7">
        <f t="shared" si="4"/>
        <v>850000</v>
      </c>
      <c r="P13" s="7">
        <f t="shared" si="5"/>
        <v>0</v>
      </c>
      <c r="Q13" s="7">
        <v>850000</v>
      </c>
      <c r="R13" s="7"/>
      <c r="S13" s="7">
        <f t="shared" si="6"/>
        <v>850000</v>
      </c>
      <c r="T13" s="7">
        <f t="shared" si="7"/>
        <v>0</v>
      </c>
      <c r="U13" s="7">
        <f t="shared" si="10"/>
        <v>0</v>
      </c>
      <c r="V13" s="7">
        <f t="shared" si="11"/>
        <v>0</v>
      </c>
      <c r="W13" s="7"/>
      <c r="X13" s="7"/>
      <c r="Y13" s="6"/>
      <c r="Z13" s="6"/>
      <c r="AA13" s="6"/>
      <c r="AB13" s="6">
        <v>742000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</row>
    <row r="14" spans="1:89" s="8" customFormat="1" x14ac:dyDescent="0.25">
      <c r="A14" s="6">
        <f t="shared" si="9"/>
        <v>8</v>
      </c>
      <c r="B14" s="6">
        <v>1788</v>
      </c>
      <c r="C14" s="6" t="s">
        <v>291</v>
      </c>
      <c r="D14" s="7">
        <v>480000</v>
      </c>
      <c r="E14" s="7">
        <v>450000</v>
      </c>
      <c r="F14" s="7">
        <f t="shared" si="0"/>
        <v>30000</v>
      </c>
      <c r="G14" s="7">
        <v>300000</v>
      </c>
      <c r="H14" s="7"/>
      <c r="I14" s="7"/>
      <c r="J14" s="7"/>
      <c r="K14" s="7">
        <f t="shared" si="1"/>
        <v>0</v>
      </c>
      <c r="L14" s="7">
        <f t="shared" si="2"/>
        <v>0</v>
      </c>
      <c r="M14" s="7">
        <f t="shared" si="3"/>
        <v>300000</v>
      </c>
      <c r="N14" s="7">
        <v>180000</v>
      </c>
      <c r="O14" s="7">
        <f t="shared" si="4"/>
        <v>0</v>
      </c>
      <c r="P14" s="7">
        <f t="shared" si="5"/>
        <v>300000</v>
      </c>
      <c r="Q14" s="7"/>
      <c r="R14" s="7"/>
      <c r="S14" s="7">
        <f t="shared" si="6"/>
        <v>0</v>
      </c>
      <c r="T14" s="7">
        <f t="shared" si="7"/>
        <v>0</v>
      </c>
      <c r="U14" s="7">
        <f t="shared" si="10"/>
        <v>180000</v>
      </c>
      <c r="V14" s="7">
        <f t="shared" si="11"/>
        <v>0</v>
      </c>
      <c r="W14" s="7">
        <v>180000</v>
      </c>
      <c r="X14" s="7"/>
      <c r="Y14" s="6"/>
      <c r="Z14" s="6"/>
      <c r="AA14" s="6"/>
      <c r="AB14" s="6">
        <v>747000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</row>
    <row r="15" spans="1:89" s="8" customFormat="1" x14ac:dyDescent="0.25">
      <c r="A15" s="6">
        <f t="shared" si="9"/>
        <v>9</v>
      </c>
      <c r="B15" s="6">
        <v>1789</v>
      </c>
      <c r="C15" s="6" t="s">
        <v>293</v>
      </c>
      <c r="D15" s="7">
        <v>150000</v>
      </c>
      <c r="E15" s="7">
        <v>150000</v>
      </c>
      <c r="F15" s="7">
        <f t="shared" si="0"/>
        <v>0</v>
      </c>
      <c r="G15" s="7">
        <v>150000</v>
      </c>
      <c r="H15" s="7"/>
      <c r="I15" s="7"/>
      <c r="J15" s="7"/>
      <c r="K15" s="7">
        <f t="shared" si="1"/>
        <v>0</v>
      </c>
      <c r="L15" s="7">
        <f t="shared" si="2"/>
        <v>0</v>
      </c>
      <c r="M15" s="7">
        <f t="shared" si="3"/>
        <v>150000</v>
      </c>
      <c r="N15" s="7"/>
      <c r="O15" s="7">
        <f t="shared" ref="O15:O22" si="12">D15-L15-M15-N15</f>
        <v>0</v>
      </c>
      <c r="P15" s="7">
        <f t="shared" si="5"/>
        <v>150000</v>
      </c>
      <c r="Q15" s="7"/>
      <c r="R15" s="7"/>
      <c r="S15" s="7">
        <f t="shared" si="6"/>
        <v>0</v>
      </c>
      <c r="T15" s="7">
        <f t="shared" si="7"/>
        <v>0</v>
      </c>
      <c r="U15" s="7">
        <f t="shared" si="10"/>
        <v>0</v>
      </c>
      <c r="V15" s="7">
        <f t="shared" si="11"/>
        <v>0</v>
      </c>
      <c r="W15" s="6"/>
      <c r="X15" s="7"/>
      <c r="Y15" s="6"/>
      <c r="Z15" s="6"/>
      <c r="AA15" s="6"/>
      <c r="AB15" s="6">
        <v>747000</v>
      </c>
      <c r="AC15" s="176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</row>
    <row r="16" spans="1:89" s="8" customFormat="1" ht="15" customHeight="1" x14ac:dyDescent="0.25">
      <c r="A16" s="6">
        <f t="shared" ref="A16:A22" si="13">1+A15</f>
        <v>10</v>
      </c>
      <c r="B16" s="180">
        <v>1823</v>
      </c>
      <c r="C16" s="112" t="s">
        <v>511</v>
      </c>
      <c r="D16" s="102">
        <v>84960</v>
      </c>
      <c r="E16" s="102">
        <v>84960</v>
      </c>
      <c r="F16" s="7">
        <f t="shared" ref="F16:F22" si="14">D16-E16</f>
        <v>0</v>
      </c>
      <c r="G16" s="102"/>
      <c r="H16" s="102"/>
      <c r="I16" s="102"/>
      <c r="J16" s="102"/>
      <c r="K16" s="101"/>
      <c r="L16" s="7">
        <f t="shared" si="2"/>
        <v>0</v>
      </c>
      <c r="M16" s="7">
        <f t="shared" si="3"/>
        <v>84960</v>
      </c>
      <c r="N16" s="102">
        <v>0</v>
      </c>
      <c r="O16" s="7">
        <f t="shared" si="12"/>
        <v>0</v>
      </c>
      <c r="P16" s="7">
        <f t="shared" si="5"/>
        <v>0</v>
      </c>
      <c r="Q16" s="102"/>
      <c r="R16" s="102">
        <v>84960</v>
      </c>
      <c r="S16" s="7">
        <f t="shared" si="6"/>
        <v>84960</v>
      </c>
      <c r="T16" s="7">
        <f t="shared" si="7"/>
        <v>0</v>
      </c>
      <c r="U16" s="7">
        <f t="shared" si="10"/>
        <v>0</v>
      </c>
      <c r="V16" s="7">
        <f t="shared" si="11"/>
        <v>0</v>
      </c>
      <c r="W16" s="101"/>
      <c r="X16" s="101"/>
      <c r="Y16" s="101"/>
      <c r="Z16" s="101"/>
      <c r="AA16" s="101"/>
      <c r="AB16" s="101">
        <v>742000</v>
      </c>
      <c r="AC16" s="178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79"/>
      <c r="AZ16" s="100"/>
      <c r="BA16" s="179"/>
      <c r="BB16" s="179"/>
      <c r="BC16" s="179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</row>
    <row r="17" spans="1:89" x14ac:dyDescent="0.25">
      <c r="A17" s="6">
        <f t="shared" si="13"/>
        <v>11</v>
      </c>
      <c r="B17" s="180">
        <v>1829</v>
      </c>
      <c r="C17" s="112" t="s">
        <v>543</v>
      </c>
      <c r="D17" s="102">
        <v>65000</v>
      </c>
      <c r="E17" s="102">
        <v>65000</v>
      </c>
      <c r="F17" s="7">
        <f t="shared" si="14"/>
        <v>0</v>
      </c>
      <c r="G17" s="102"/>
      <c r="H17" s="102"/>
      <c r="I17" s="102"/>
      <c r="J17" s="102"/>
      <c r="K17" s="101"/>
      <c r="L17" s="7">
        <f t="shared" si="2"/>
        <v>0</v>
      </c>
      <c r="M17" s="7">
        <f t="shared" si="3"/>
        <v>65000</v>
      </c>
      <c r="N17" s="102">
        <v>0</v>
      </c>
      <c r="O17" s="7">
        <f t="shared" si="12"/>
        <v>0</v>
      </c>
      <c r="P17" s="7">
        <f t="shared" si="5"/>
        <v>0</v>
      </c>
      <c r="Q17" s="102"/>
      <c r="R17" s="102">
        <v>65000</v>
      </c>
      <c r="S17" s="7">
        <f t="shared" si="6"/>
        <v>65000</v>
      </c>
      <c r="T17" s="7">
        <f t="shared" si="7"/>
        <v>0</v>
      </c>
      <c r="U17" s="7">
        <f t="shared" si="10"/>
        <v>0</v>
      </c>
      <c r="V17" s="7">
        <f t="shared" si="11"/>
        <v>0</v>
      </c>
      <c r="W17" s="101"/>
      <c r="X17" s="101"/>
      <c r="Y17" s="101"/>
      <c r="Z17" s="101"/>
      <c r="AA17" s="101"/>
      <c r="AB17" s="101">
        <v>742000</v>
      </c>
      <c r="AC17" s="178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79"/>
      <c r="AZ17" s="100"/>
      <c r="BA17" s="179"/>
      <c r="BB17" s="179"/>
      <c r="BC17" s="179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</row>
    <row r="18" spans="1:89" s="8" customFormat="1" x14ac:dyDescent="0.25">
      <c r="A18" s="6">
        <f t="shared" si="13"/>
        <v>12</v>
      </c>
      <c r="B18" s="180">
        <v>1830</v>
      </c>
      <c r="C18" s="210" t="s">
        <v>544</v>
      </c>
      <c r="D18" s="7">
        <v>300000</v>
      </c>
      <c r="E18" s="7">
        <v>300000</v>
      </c>
      <c r="F18" s="7">
        <f t="shared" si="14"/>
        <v>0</v>
      </c>
      <c r="G18" s="7"/>
      <c r="H18" s="7"/>
      <c r="I18" s="7"/>
      <c r="J18" s="7"/>
      <c r="K18" s="7"/>
      <c r="L18" s="7">
        <f t="shared" si="2"/>
        <v>0</v>
      </c>
      <c r="M18" s="7">
        <f t="shared" si="3"/>
        <v>300000</v>
      </c>
      <c r="N18" s="102">
        <v>0</v>
      </c>
      <c r="O18" s="7">
        <f t="shared" si="12"/>
        <v>0</v>
      </c>
      <c r="P18" s="7">
        <f t="shared" si="5"/>
        <v>0</v>
      </c>
      <c r="Q18" s="102"/>
      <c r="R18" s="102">
        <v>300000</v>
      </c>
      <c r="S18" s="7">
        <f t="shared" si="6"/>
        <v>300000</v>
      </c>
      <c r="T18" s="7">
        <f t="shared" si="7"/>
        <v>0</v>
      </c>
      <c r="U18" s="7">
        <f>N18-T18</f>
        <v>0</v>
      </c>
      <c r="V18" s="7">
        <f t="shared" si="11"/>
        <v>0</v>
      </c>
      <c r="W18" s="101"/>
      <c r="X18" s="101"/>
      <c r="Y18" s="101"/>
      <c r="Z18" s="101"/>
      <c r="AA18" s="101"/>
      <c r="AB18" s="101">
        <v>742000</v>
      </c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79"/>
      <c r="AZ18" s="100"/>
      <c r="BA18" s="179"/>
      <c r="BB18" s="179"/>
      <c r="BC18" s="179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</row>
    <row r="19" spans="1:89" s="8" customFormat="1" x14ac:dyDescent="0.25">
      <c r="A19" s="6">
        <f t="shared" si="13"/>
        <v>13</v>
      </c>
      <c r="B19" s="6">
        <v>1867</v>
      </c>
      <c r="C19" s="6" t="s">
        <v>515</v>
      </c>
      <c r="D19" s="127">
        <v>350000</v>
      </c>
      <c r="E19" s="7"/>
      <c r="F19" s="7">
        <f t="shared" si="14"/>
        <v>350000</v>
      </c>
      <c r="G19" s="7"/>
      <c r="H19" s="7"/>
      <c r="I19" s="7"/>
      <c r="J19" s="7"/>
      <c r="K19" s="7"/>
      <c r="L19" s="7"/>
      <c r="M19" s="7"/>
      <c r="N19" s="7">
        <v>350000</v>
      </c>
      <c r="O19" s="7">
        <f t="shared" si="12"/>
        <v>0</v>
      </c>
      <c r="P19" s="7"/>
      <c r="Q19" s="7"/>
      <c r="R19" s="7"/>
      <c r="S19" s="7">
        <f t="shared" si="6"/>
        <v>0</v>
      </c>
      <c r="T19" s="7">
        <f t="shared" si="7"/>
        <v>0</v>
      </c>
      <c r="U19" s="7">
        <f t="shared" si="10"/>
        <v>350000</v>
      </c>
      <c r="V19" s="7">
        <f t="shared" si="11"/>
        <v>350000</v>
      </c>
      <c r="W19" s="7"/>
      <c r="X19" s="7"/>
      <c r="Y19" s="6"/>
      <c r="Z19" s="71" t="s">
        <v>516</v>
      </c>
      <c r="AA19" s="6"/>
      <c r="AB19" s="6">
        <v>732000</v>
      </c>
    </row>
    <row r="20" spans="1:89" s="8" customFormat="1" x14ac:dyDescent="0.25">
      <c r="A20" s="6">
        <f t="shared" si="13"/>
        <v>14</v>
      </c>
      <c r="B20" s="6">
        <v>1868</v>
      </c>
      <c r="C20" s="6" t="s">
        <v>517</v>
      </c>
      <c r="D20" s="127">
        <v>650000</v>
      </c>
      <c r="E20" s="7"/>
      <c r="F20" s="7">
        <f t="shared" ref="F20" si="15">D20-E20</f>
        <v>650000</v>
      </c>
      <c r="G20" s="7"/>
      <c r="H20" s="7"/>
      <c r="I20" s="7"/>
      <c r="J20" s="7"/>
      <c r="K20" s="7"/>
      <c r="L20" s="7"/>
      <c r="M20" s="7"/>
      <c r="N20" s="7">
        <v>200000</v>
      </c>
      <c r="O20" s="7">
        <f t="shared" ref="O20" si="16">D20-L20-M20-N20</f>
        <v>450000</v>
      </c>
      <c r="P20" s="7"/>
      <c r="Q20" s="7"/>
      <c r="R20" s="7"/>
      <c r="S20" s="7">
        <f t="shared" ref="S20" si="17">SUM(Q20:R20)</f>
        <v>0</v>
      </c>
      <c r="T20" s="7">
        <f t="shared" ref="T20" si="18">P20-M20+S20</f>
        <v>0</v>
      </c>
      <c r="U20" s="7">
        <f t="shared" ref="U20" si="19">N20-T20</f>
        <v>200000</v>
      </c>
      <c r="V20" s="7">
        <f>U20-W20-X20-Y20</f>
        <v>200000</v>
      </c>
      <c r="W20" s="7"/>
      <c r="X20" s="7"/>
      <c r="Y20" s="6"/>
      <c r="Z20" s="71" t="s">
        <v>518</v>
      </c>
      <c r="AA20" s="6"/>
      <c r="AB20" s="6">
        <v>742000</v>
      </c>
    </row>
    <row r="21" spans="1:89" s="8" customFormat="1" x14ac:dyDescent="0.25">
      <c r="A21" s="6">
        <f t="shared" si="13"/>
        <v>15</v>
      </c>
      <c r="B21" s="6">
        <v>1869</v>
      </c>
      <c r="C21" s="6" t="s">
        <v>428</v>
      </c>
      <c r="D21" s="127">
        <v>500000</v>
      </c>
      <c r="E21" s="7"/>
      <c r="F21" s="7">
        <f t="shared" si="14"/>
        <v>500000</v>
      </c>
      <c r="G21" s="7"/>
      <c r="H21" s="7"/>
      <c r="I21" s="7"/>
      <c r="J21" s="7"/>
      <c r="K21" s="7"/>
      <c r="L21" s="7"/>
      <c r="M21" s="7"/>
      <c r="N21" s="7">
        <v>500000</v>
      </c>
      <c r="O21" s="7">
        <f t="shared" si="12"/>
        <v>0</v>
      </c>
      <c r="P21" s="7"/>
      <c r="Q21" s="7"/>
      <c r="R21" s="7"/>
      <c r="S21" s="7">
        <f t="shared" si="6"/>
        <v>0</v>
      </c>
      <c r="T21" s="7">
        <f t="shared" si="7"/>
        <v>0</v>
      </c>
      <c r="U21" s="7">
        <f t="shared" si="10"/>
        <v>500000</v>
      </c>
      <c r="V21" s="7">
        <f>U21-W21-X21-Y21</f>
        <v>500000</v>
      </c>
      <c r="W21" s="7"/>
      <c r="X21" s="7"/>
      <c r="Y21" s="6"/>
      <c r="Z21" s="71"/>
      <c r="AA21" s="6"/>
      <c r="AB21" s="6">
        <v>742000</v>
      </c>
    </row>
    <row r="22" spans="1:89" x14ac:dyDescent="0.25">
      <c r="A22" s="6">
        <f t="shared" si="13"/>
        <v>16</v>
      </c>
      <c r="B22" s="6">
        <v>1870</v>
      </c>
      <c r="C22" s="6" t="s">
        <v>512</v>
      </c>
      <c r="D22" s="127">
        <v>2500000</v>
      </c>
      <c r="E22" s="7"/>
      <c r="F22" s="7">
        <f t="shared" si="14"/>
        <v>2500000</v>
      </c>
      <c r="G22" s="7"/>
      <c r="H22" s="7"/>
      <c r="I22" s="7"/>
      <c r="J22" s="7"/>
      <c r="K22" s="7"/>
      <c r="L22" s="7"/>
      <c r="M22" s="7"/>
      <c r="N22" s="7">
        <v>2500000</v>
      </c>
      <c r="O22" s="7">
        <f t="shared" si="12"/>
        <v>0</v>
      </c>
      <c r="P22" s="7"/>
      <c r="Q22" s="7"/>
      <c r="R22" s="7"/>
      <c r="S22" s="7">
        <f t="shared" si="6"/>
        <v>0</v>
      </c>
      <c r="T22" s="7">
        <f t="shared" si="7"/>
        <v>0</v>
      </c>
      <c r="U22" s="7">
        <f>N22-T22</f>
        <v>2500000</v>
      </c>
      <c r="V22" s="7">
        <f t="shared" si="11"/>
        <v>2500000</v>
      </c>
      <c r="W22" s="7"/>
      <c r="X22" s="7"/>
      <c r="Y22" s="6"/>
      <c r="Z22" s="71" t="s">
        <v>513</v>
      </c>
      <c r="AA22" s="6" t="s">
        <v>514</v>
      </c>
      <c r="AB22" s="6">
        <v>742000</v>
      </c>
      <c r="AC22" s="177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s="13" customFormat="1" ht="15.6" x14ac:dyDescent="0.25">
      <c r="A23" s="11">
        <f>A22</f>
        <v>16</v>
      </c>
      <c r="B23" s="11" t="s">
        <v>112</v>
      </c>
      <c r="C23" s="11" t="s">
        <v>283</v>
      </c>
      <c r="D23" s="12">
        <f t="shared" ref="D23:W23" si="20">SUM(D7:D22)</f>
        <v>12209960</v>
      </c>
      <c r="E23" s="12">
        <f t="shared" si="20"/>
        <v>8179960</v>
      </c>
      <c r="F23" s="12">
        <f t="shared" si="20"/>
        <v>4030000</v>
      </c>
      <c r="G23" s="12">
        <f t="shared" si="20"/>
        <v>3130000</v>
      </c>
      <c r="H23" s="12">
        <f t="shared" si="20"/>
        <v>2402516</v>
      </c>
      <c r="I23" s="12">
        <f t="shared" si="20"/>
        <v>0</v>
      </c>
      <c r="J23" s="12">
        <f t="shared" si="20"/>
        <v>0</v>
      </c>
      <c r="K23" s="12">
        <f t="shared" si="20"/>
        <v>0</v>
      </c>
      <c r="L23" s="12">
        <f t="shared" si="20"/>
        <v>2402516</v>
      </c>
      <c r="M23" s="12">
        <f t="shared" si="20"/>
        <v>2677444</v>
      </c>
      <c r="N23" s="12">
        <f t="shared" si="20"/>
        <v>3730000</v>
      </c>
      <c r="O23" s="12">
        <f t="shared" si="20"/>
        <v>3400000</v>
      </c>
      <c r="P23" s="12">
        <f t="shared" si="20"/>
        <v>727484</v>
      </c>
      <c r="Q23" s="12">
        <f t="shared" si="20"/>
        <v>1500000</v>
      </c>
      <c r="R23" s="12">
        <f t="shared" si="20"/>
        <v>449960</v>
      </c>
      <c r="S23" s="12">
        <f t="shared" si="20"/>
        <v>1949960</v>
      </c>
      <c r="T23" s="12">
        <f t="shared" si="20"/>
        <v>0</v>
      </c>
      <c r="U23" s="12">
        <f t="shared" si="20"/>
        <v>3730000</v>
      </c>
      <c r="V23" s="12">
        <f t="shared" si="20"/>
        <v>3550000</v>
      </c>
      <c r="W23" s="12">
        <f t="shared" si="20"/>
        <v>180000</v>
      </c>
      <c r="X23" s="12">
        <f>SUM(X7:X15)</f>
        <v>0</v>
      </c>
      <c r="Y23" s="12">
        <f>SUM(Y7:Y15)</f>
        <v>0</v>
      </c>
      <c r="Z23" s="11"/>
      <c r="AA23" s="11"/>
      <c r="AB23" s="11"/>
      <c r="AC23" s="181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</row>
    <row r="24" spans="1:89" s="8" customFormat="1" x14ac:dyDescent="0.25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>D24-L24-M24-N24</f>
        <v>0</v>
      </c>
      <c r="P24" s="7"/>
      <c r="Q24" s="7"/>
      <c r="R24" s="7"/>
      <c r="S24" s="7"/>
      <c r="T24" s="7">
        <f t="shared" ref="T24" si="21">P24-M24+R24</f>
        <v>0</v>
      </c>
      <c r="U24" s="7">
        <f t="shared" ref="U24" si="22">N24-T24</f>
        <v>0</v>
      </c>
      <c r="V24" s="7"/>
      <c r="W24" s="7"/>
      <c r="X24" s="7"/>
      <c r="Y24" s="6"/>
      <c r="Z24" s="6"/>
      <c r="AA24" s="6"/>
      <c r="AB24" s="6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</row>
    <row r="25" spans="1:89" s="17" customFormat="1" x14ac:dyDescent="0.25">
      <c r="C25" s="182"/>
      <c r="D25" s="183"/>
      <c r="E25" s="183"/>
      <c r="F25" s="18"/>
      <c r="G25" s="18"/>
      <c r="H25" s="18"/>
      <c r="I25" s="18"/>
      <c r="J25" s="18"/>
      <c r="K25" s="18"/>
      <c r="L25" s="19"/>
      <c r="M25" s="19"/>
      <c r="N25" s="18"/>
      <c r="O25" s="19"/>
      <c r="P25" s="18"/>
      <c r="Q25" s="18"/>
      <c r="R25" s="18"/>
      <c r="S25" s="18"/>
      <c r="T25" s="18"/>
    </row>
    <row r="26" spans="1:89" s="17" customFormat="1" x14ac:dyDescent="0.25">
      <c r="C26" s="182"/>
      <c r="D26" s="184"/>
      <c r="E26" s="18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30" spans="1:89" x14ac:dyDescent="0.25">
      <c r="Q30" s="19">
        <v>1500000</v>
      </c>
      <c r="R30" s="19">
        <v>84960</v>
      </c>
      <c r="S30" s="19" t="s">
        <v>435</v>
      </c>
      <c r="T30" s="19" t="s">
        <v>581</v>
      </c>
    </row>
    <row r="31" spans="1:89" x14ac:dyDescent="0.25">
      <c r="R31" s="19">
        <v>365000</v>
      </c>
      <c r="S31" s="19" t="s">
        <v>579</v>
      </c>
    </row>
    <row r="32" spans="1:89" x14ac:dyDescent="0.25">
      <c r="R32" s="19">
        <f>SUM(R30:R31)</f>
        <v>449960</v>
      </c>
    </row>
  </sheetData>
  <sheetProtection algorithmName="SHA-512" hashValue="2Cvf7IbobH73QuVZPw1OOkZNxyEsHTcTZJ2jTpmBJZV6xZKiKzbD1/ETK0KcHHSAJP0KMLUDZZtQWKn6aPV6oA==" saltValue="gLcIUTEVfUIlWXnjGEYGPA==" spinCount="100000" sheet="1" formatCells="0" formatColumns="0" formatRows="0" insertColumns="0" insertRows="0" insertHyperlinks="0" deleteColumns="0" deleteRows="0" sort="0" autoFilter="0" pivotTables="0"/>
  <sortState ref="A7:CK23">
    <sortCondition ref="B7:B23"/>
  </sortState>
  <mergeCells count="2">
    <mergeCell ref="A2:W2"/>
    <mergeCell ref="A3:W3"/>
  </mergeCells>
  <printOptions horizontalCentered="1"/>
  <pageMargins left="0" right="0" top="0.78740157480314965" bottom="0.78740157480314965" header="0.51181102362204722" footer="0.51181102362204722"/>
  <pageSetup paperSize="9" scale="85" orientation="landscape" r:id="rId1"/>
  <headerFooter alignWithMargins="0">
    <oddFooter>&amp;Cעמוד &amp;P מתוך &amp;N&amp;Rהחברה לפיתוח התיירות
עמוד 40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0"/>
  <sheetViews>
    <sheetView showZeros="0" rightToLeft="1" zoomScaleNormal="100" workbookViewId="0">
      <pane xSplit="3" ySplit="5" topLeftCell="D51" activePane="bottomRight" state="frozen"/>
      <selection pane="topRight" activeCell="D1" sqref="D1"/>
      <selection pane="bottomLeft" activeCell="A6" sqref="A6"/>
      <selection pane="bottomRight" activeCell="C68" sqref="C68"/>
    </sheetView>
  </sheetViews>
  <sheetFormatPr defaultColWidth="9.109375" defaultRowHeight="13.8" x14ac:dyDescent="0.25"/>
  <cols>
    <col min="1" max="1" width="5.33203125" style="20" customWidth="1"/>
    <col min="2" max="2" width="6.6640625" style="21" customWidth="1"/>
    <col min="3" max="3" width="37.33203125" style="21" customWidth="1"/>
    <col min="4" max="4" width="12.6640625" style="19" bestFit="1" customWidth="1"/>
    <col min="5" max="5" width="11.33203125" style="19" customWidth="1"/>
    <col min="6" max="6" width="10.5546875" style="19" customWidth="1"/>
    <col min="7" max="7" width="11.109375" style="19" hidden="1" customWidth="1"/>
    <col min="8" max="10" width="12.6640625" style="19" hidden="1" customWidth="1"/>
    <col min="11" max="11" width="11.33203125" style="19" hidden="1" customWidth="1"/>
    <col min="12" max="12" width="11.109375" style="19" customWidth="1"/>
    <col min="13" max="13" width="10.33203125" style="19" customWidth="1"/>
    <col min="14" max="14" width="10.44140625" style="19" customWidth="1"/>
    <col min="15" max="15" width="10.6640625" style="19" customWidth="1"/>
    <col min="16" max="17" width="11.109375" style="19" hidden="1" customWidth="1"/>
    <col min="18" max="19" width="12" style="19" hidden="1" customWidth="1"/>
    <col min="20" max="20" width="11.44140625" style="19" hidden="1" customWidth="1"/>
    <col min="21" max="21" width="11.44140625" style="21" customWidth="1"/>
    <col min="22" max="22" width="9.88671875" style="21" customWidth="1"/>
    <col min="23" max="23" width="10.33203125" style="21" customWidth="1"/>
    <col min="24" max="24" width="5.33203125" style="21" hidden="1" customWidth="1"/>
    <col min="25" max="25" width="9.44140625" style="21" customWidth="1"/>
    <col min="26" max="26" width="21.109375" style="20" hidden="1" customWidth="1"/>
    <col min="27" max="27" width="26.5546875" style="21" hidden="1" customWidth="1"/>
    <col min="28" max="28" width="7.88671875" style="21" hidden="1" customWidth="1"/>
    <col min="29" max="16384" width="9.109375" style="21"/>
  </cols>
  <sheetData>
    <row r="2" spans="1:28" s="1" customFormat="1" ht="18" x14ac:dyDescent="0.35">
      <c r="A2" s="256" t="s">
        <v>370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69"/>
    </row>
    <row r="3" spans="1:28" ht="18" x14ac:dyDescent="0.35">
      <c r="A3" s="256" t="s">
        <v>378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</row>
    <row r="5" spans="1:28" s="86" customFormat="1" ht="86.2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359</v>
      </c>
      <c r="N5" s="4" t="s">
        <v>360</v>
      </c>
      <c r="O5" s="4" t="s">
        <v>361</v>
      </c>
      <c r="P5" s="4" t="s">
        <v>12</v>
      </c>
      <c r="Q5" s="4" t="s">
        <v>362</v>
      </c>
      <c r="R5" s="4" t="s">
        <v>363</v>
      </c>
      <c r="S5" s="4" t="s">
        <v>364</v>
      </c>
      <c r="T5" s="4" t="s">
        <v>365</v>
      </c>
      <c r="U5" s="4" t="s">
        <v>366</v>
      </c>
      <c r="V5" s="4" t="s">
        <v>13</v>
      </c>
      <c r="W5" s="4" t="s">
        <v>14</v>
      </c>
      <c r="X5" s="4" t="s">
        <v>15</v>
      </c>
      <c r="Y5" s="4" t="s">
        <v>285</v>
      </c>
      <c r="Z5" s="78" t="s">
        <v>16</v>
      </c>
      <c r="AA5" s="4" t="s">
        <v>17</v>
      </c>
      <c r="AB5" s="4" t="s">
        <v>18</v>
      </c>
    </row>
    <row r="6" spans="1:28" s="8" customFormat="1" x14ac:dyDescent="0.25">
      <c r="A6" s="10"/>
      <c r="B6" s="10"/>
      <c r="C6" s="1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10"/>
      <c r="Z6" s="84"/>
      <c r="AA6" s="10"/>
      <c r="AB6" s="10"/>
    </row>
    <row r="7" spans="1:28" s="8" customFormat="1" ht="15.6" x14ac:dyDescent="0.25">
      <c r="A7" s="6"/>
      <c r="B7" s="6"/>
      <c r="C7" s="11" t="s">
        <v>286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6"/>
      <c r="Z7" s="71"/>
      <c r="AA7" s="6"/>
      <c r="AB7" s="6"/>
    </row>
    <row r="8" spans="1:28" s="8" customFormat="1" x14ac:dyDescent="0.25">
      <c r="A8" s="6">
        <v>1</v>
      </c>
      <c r="B8" s="6">
        <v>1165</v>
      </c>
      <c r="C8" s="6" t="s">
        <v>288</v>
      </c>
      <c r="D8" s="7">
        <v>11650000</v>
      </c>
      <c r="E8" s="7">
        <v>10950000</v>
      </c>
      <c r="F8" s="7">
        <f t="shared" ref="F8:F25" si="0">D8-E8</f>
        <v>700000</v>
      </c>
      <c r="G8" s="7">
        <v>9250000</v>
      </c>
      <c r="H8" s="7">
        <v>8354119</v>
      </c>
      <c r="I8" s="7">
        <v>57091</v>
      </c>
      <c r="J8" s="7">
        <v>241365</v>
      </c>
      <c r="K8" s="7">
        <f t="shared" ref="K8:K25" si="1">SUM(I8:J8)</f>
        <v>298456</v>
      </c>
      <c r="L8" s="7">
        <f t="shared" ref="L8:L25" si="2">H8+K8</f>
        <v>8652575</v>
      </c>
      <c r="M8" s="15">
        <f>P8+S8</f>
        <v>597425</v>
      </c>
      <c r="N8" s="7">
        <f>1000000-100000</f>
        <v>900000</v>
      </c>
      <c r="O8" s="7">
        <f t="shared" ref="O8:O25" si="3">D8-L8-M8-N8</f>
        <v>1500000</v>
      </c>
      <c r="P8" s="7">
        <f t="shared" ref="P8:P25" si="4">G8-L8</f>
        <v>597425</v>
      </c>
      <c r="Q8" s="7"/>
      <c r="R8" s="7"/>
      <c r="S8" s="7">
        <f t="shared" ref="S8:S24" si="5">SUM(Q8:R8)</f>
        <v>0</v>
      </c>
      <c r="T8" s="7">
        <f t="shared" ref="T8:T24" si="6">P8-M8+S8</f>
        <v>0</v>
      </c>
      <c r="U8" s="7">
        <f t="shared" ref="U8:U25" si="7">N8-T8</f>
        <v>900000</v>
      </c>
      <c r="V8" s="7">
        <f>U8*0.9-10000</f>
        <v>800000</v>
      </c>
      <c r="W8" s="7">
        <f>U8-V8-X8-Y8</f>
        <v>100000</v>
      </c>
      <c r="X8" s="7"/>
      <c r="Y8" s="6"/>
      <c r="Z8" s="71"/>
      <c r="AA8" s="6" t="s">
        <v>519</v>
      </c>
      <c r="AB8" s="6">
        <v>746000</v>
      </c>
    </row>
    <row r="9" spans="1:28" s="8" customFormat="1" x14ac:dyDescent="0.25">
      <c r="A9" s="6">
        <f t="shared" ref="A9:A25" si="8">A8+1</f>
        <v>2</v>
      </c>
      <c r="B9" s="6">
        <v>1166</v>
      </c>
      <c r="C9" s="6" t="s">
        <v>348</v>
      </c>
      <c r="D9" s="7">
        <f>6215000+1500000</f>
        <v>7715000</v>
      </c>
      <c r="E9" s="7">
        <v>6215000</v>
      </c>
      <c r="F9" s="7">
        <f t="shared" si="0"/>
        <v>1500000</v>
      </c>
      <c r="G9" s="7">
        <v>6215000</v>
      </c>
      <c r="H9" s="7">
        <v>5734812.4100000001</v>
      </c>
      <c r="I9" s="7">
        <v>478007.39</v>
      </c>
      <c r="J9" s="7">
        <v>168.53</v>
      </c>
      <c r="K9" s="7">
        <f t="shared" si="1"/>
        <v>478175.92000000004</v>
      </c>
      <c r="L9" s="7">
        <f t="shared" si="2"/>
        <v>6212988.3300000001</v>
      </c>
      <c r="M9" s="15">
        <f t="shared" ref="M9:M25" si="9">P9+S9</f>
        <v>2011.6699999999255</v>
      </c>
      <c r="N9" s="15">
        <v>900000</v>
      </c>
      <c r="O9" s="7">
        <f t="shared" si="3"/>
        <v>600000</v>
      </c>
      <c r="P9" s="7">
        <f t="shared" si="4"/>
        <v>2011.6699999999255</v>
      </c>
      <c r="Q9" s="7"/>
      <c r="R9" s="7"/>
      <c r="S9" s="7">
        <f t="shared" si="5"/>
        <v>0</v>
      </c>
      <c r="T9" s="7">
        <f t="shared" si="6"/>
        <v>0</v>
      </c>
      <c r="U9" s="7">
        <f t="shared" si="7"/>
        <v>900000</v>
      </c>
      <c r="V9" s="7">
        <f>U9</f>
        <v>900000</v>
      </c>
      <c r="W9" s="7">
        <f t="shared" ref="W9:W25" si="10">U9-V9-X9-Y9</f>
        <v>0</v>
      </c>
      <c r="X9" s="7"/>
      <c r="Y9" s="6"/>
      <c r="Z9" s="71"/>
      <c r="AA9" s="6" t="s">
        <v>519</v>
      </c>
      <c r="AB9" s="6">
        <v>746000</v>
      </c>
    </row>
    <row r="10" spans="1:28" s="8" customFormat="1" x14ac:dyDescent="0.25">
      <c r="A10" s="6">
        <f t="shared" si="8"/>
        <v>3</v>
      </c>
      <c r="B10" s="6">
        <v>1192</v>
      </c>
      <c r="C10" s="6" t="s">
        <v>239</v>
      </c>
      <c r="D10" s="7">
        <v>835000</v>
      </c>
      <c r="E10" s="7">
        <v>835000</v>
      </c>
      <c r="F10" s="7">
        <f t="shared" si="0"/>
        <v>0</v>
      </c>
      <c r="G10" s="7">
        <v>485000</v>
      </c>
      <c r="H10" s="7">
        <v>350708.55</v>
      </c>
      <c r="I10" s="7">
        <v>42562.6</v>
      </c>
      <c r="J10" s="7"/>
      <c r="K10" s="7">
        <f t="shared" si="1"/>
        <v>42562.6</v>
      </c>
      <c r="L10" s="7">
        <f t="shared" si="2"/>
        <v>393271.14999999997</v>
      </c>
      <c r="M10" s="15">
        <f t="shared" si="9"/>
        <v>91728.850000000035</v>
      </c>
      <c r="N10" s="15"/>
      <c r="O10" s="7">
        <f t="shared" si="3"/>
        <v>350000</v>
      </c>
      <c r="P10" s="7">
        <f t="shared" si="4"/>
        <v>91728.850000000035</v>
      </c>
      <c r="Q10" s="7"/>
      <c r="R10" s="7"/>
      <c r="S10" s="7">
        <f t="shared" si="5"/>
        <v>0</v>
      </c>
      <c r="T10" s="7">
        <f t="shared" si="6"/>
        <v>0</v>
      </c>
      <c r="U10" s="7">
        <f t="shared" si="7"/>
        <v>0</v>
      </c>
      <c r="V10" s="7"/>
      <c r="W10" s="7">
        <f t="shared" si="10"/>
        <v>0</v>
      </c>
      <c r="X10" s="7"/>
      <c r="Y10" s="6"/>
      <c r="Z10" s="71"/>
      <c r="AA10" s="6" t="s">
        <v>519</v>
      </c>
      <c r="AB10" s="6">
        <v>810000</v>
      </c>
    </row>
    <row r="11" spans="1:28" s="8" customFormat="1" x14ac:dyDescent="0.25">
      <c r="A11" s="6">
        <f t="shared" si="8"/>
        <v>4</v>
      </c>
      <c r="B11" s="6">
        <v>1254</v>
      </c>
      <c r="C11" s="6" t="s">
        <v>620</v>
      </c>
      <c r="D11" s="7">
        <v>31190000</v>
      </c>
      <c r="E11" s="7">
        <v>31190000</v>
      </c>
      <c r="F11" s="7">
        <f t="shared" si="0"/>
        <v>0</v>
      </c>
      <c r="G11" s="7">
        <v>23490000</v>
      </c>
      <c r="H11" s="7">
        <v>22613926.370000001</v>
      </c>
      <c r="I11" s="7">
        <v>490949.99</v>
      </c>
      <c r="J11" s="7">
        <v>81181.06</v>
      </c>
      <c r="K11" s="7">
        <f t="shared" si="1"/>
        <v>572131.05000000005</v>
      </c>
      <c r="L11" s="7">
        <f t="shared" si="2"/>
        <v>23186057.420000002</v>
      </c>
      <c r="M11" s="15">
        <f t="shared" si="9"/>
        <v>1603942.5799999982</v>
      </c>
      <c r="N11" s="7">
        <v>2500000</v>
      </c>
      <c r="O11" s="7">
        <f t="shared" si="3"/>
        <v>3900000</v>
      </c>
      <c r="P11" s="7">
        <f t="shared" si="4"/>
        <v>303942.57999999821</v>
      </c>
      <c r="Q11" s="7">
        <v>1300000</v>
      </c>
      <c r="R11" s="7"/>
      <c r="S11" s="7">
        <f t="shared" si="5"/>
        <v>1300000</v>
      </c>
      <c r="T11" s="7">
        <f t="shared" si="6"/>
        <v>0</v>
      </c>
      <c r="U11" s="7">
        <f t="shared" si="7"/>
        <v>2500000</v>
      </c>
      <c r="V11" s="7">
        <f>U11</f>
        <v>2500000</v>
      </c>
      <c r="W11" s="7">
        <f t="shared" si="10"/>
        <v>0</v>
      </c>
      <c r="X11" s="7"/>
      <c r="Y11" s="6"/>
      <c r="Z11" s="71"/>
      <c r="AA11" s="6" t="s">
        <v>519</v>
      </c>
      <c r="AB11" s="6">
        <v>746000</v>
      </c>
    </row>
    <row r="12" spans="1:28" s="8" customFormat="1" x14ac:dyDescent="0.25">
      <c r="A12" s="6">
        <f t="shared" si="8"/>
        <v>5</v>
      </c>
      <c r="B12" s="6">
        <v>1292</v>
      </c>
      <c r="C12" s="6" t="s">
        <v>240</v>
      </c>
      <c r="D12" s="7">
        <v>2400000</v>
      </c>
      <c r="E12" s="7">
        <v>2400000</v>
      </c>
      <c r="F12" s="7">
        <f t="shared" si="0"/>
        <v>0</v>
      </c>
      <c r="G12" s="7">
        <v>2100000</v>
      </c>
      <c r="H12" s="7">
        <v>2060426.59</v>
      </c>
      <c r="I12" s="7">
        <v>19779.16</v>
      </c>
      <c r="J12" s="7"/>
      <c r="K12" s="7">
        <f t="shared" si="1"/>
        <v>19779.16</v>
      </c>
      <c r="L12" s="7">
        <f t="shared" si="2"/>
        <v>2080205.75</v>
      </c>
      <c r="M12" s="15">
        <f t="shared" si="9"/>
        <v>69794.25</v>
      </c>
      <c r="N12" s="15">
        <v>30000</v>
      </c>
      <c r="O12" s="7">
        <f t="shared" si="3"/>
        <v>220000</v>
      </c>
      <c r="P12" s="7">
        <f t="shared" si="4"/>
        <v>19794.25</v>
      </c>
      <c r="Q12" s="7">
        <v>50000</v>
      </c>
      <c r="R12" s="7"/>
      <c r="S12" s="7">
        <f t="shared" si="5"/>
        <v>50000</v>
      </c>
      <c r="T12" s="7">
        <f t="shared" si="6"/>
        <v>0</v>
      </c>
      <c r="U12" s="7">
        <f t="shared" si="7"/>
        <v>30000</v>
      </c>
      <c r="V12" s="7"/>
      <c r="W12" s="7">
        <f t="shared" si="10"/>
        <v>30000</v>
      </c>
      <c r="X12" s="7"/>
      <c r="Y12" s="6"/>
      <c r="Z12" s="71"/>
      <c r="AA12" s="6" t="s">
        <v>519</v>
      </c>
      <c r="AB12" s="6">
        <v>746400</v>
      </c>
    </row>
    <row r="13" spans="1:28" s="8" customFormat="1" x14ac:dyDescent="0.25">
      <c r="A13" s="6">
        <f t="shared" si="8"/>
        <v>6</v>
      </c>
      <c r="B13" s="6">
        <v>1341</v>
      </c>
      <c r="C13" s="6" t="s">
        <v>241</v>
      </c>
      <c r="D13" s="7">
        <v>1050000</v>
      </c>
      <c r="E13" s="7">
        <v>600000</v>
      </c>
      <c r="F13" s="7">
        <f t="shared" si="0"/>
        <v>450000</v>
      </c>
      <c r="G13" s="7">
        <v>550000</v>
      </c>
      <c r="H13" s="7">
        <v>290040.31</v>
      </c>
      <c r="I13" s="7">
        <v>27470.97</v>
      </c>
      <c r="J13" s="7"/>
      <c r="K13" s="7">
        <f t="shared" si="1"/>
        <v>27470.97</v>
      </c>
      <c r="L13" s="7">
        <f t="shared" si="2"/>
        <v>317511.28000000003</v>
      </c>
      <c r="M13" s="15">
        <f t="shared" si="9"/>
        <v>232488.71999999997</v>
      </c>
      <c r="N13" s="15"/>
      <c r="O13" s="7">
        <f t="shared" si="3"/>
        <v>500000</v>
      </c>
      <c r="P13" s="7">
        <f t="shared" si="4"/>
        <v>232488.71999999997</v>
      </c>
      <c r="Q13" s="7"/>
      <c r="R13" s="7"/>
      <c r="S13" s="7">
        <f t="shared" si="5"/>
        <v>0</v>
      </c>
      <c r="T13" s="7">
        <f t="shared" si="6"/>
        <v>0</v>
      </c>
      <c r="U13" s="7">
        <f t="shared" si="7"/>
        <v>0</v>
      </c>
      <c r="V13" s="7">
        <f>U13*0.7</f>
        <v>0</v>
      </c>
      <c r="W13" s="7">
        <f t="shared" si="10"/>
        <v>0</v>
      </c>
      <c r="X13" s="7"/>
      <c r="Y13" s="6"/>
      <c r="Z13" s="71"/>
      <c r="AA13" s="6" t="s">
        <v>519</v>
      </c>
      <c r="AB13" s="6">
        <v>746000</v>
      </c>
    </row>
    <row r="14" spans="1:28" s="8" customFormat="1" x14ac:dyDescent="0.25">
      <c r="A14" s="6">
        <f t="shared" si="8"/>
        <v>7</v>
      </c>
      <c r="B14" s="6">
        <v>1342</v>
      </c>
      <c r="C14" s="6" t="s">
        <v>242</v>
      </c>
      <c r="D14" s="7">
        <v>2300000</v>
      </c>
      <c r="E14" s="7">
        <v>2100000</v>
      </c>
      <c r="F14" s="7">
        <f t="shared" si="0"/>
        <v>200000</v>
      </c>
      <c r="G14" s="7">
        <v>1550000</v>
      </c>
      <c r="H14" s="7">
        <v>1239788.6000000001</v>
      </c>
      <c r="I14" s="7">
        <v>32221.38</v>
      </c>
      <c r="J14" s="7">
        <v>14332.87</v>
      </c>
      <c r="K14" s="7">
        <f t="shared" si="1"/>
        <v>46554.25</v>
      </c>
      <c r="L14" s="7">
        <f t="shared" si="2"/>
        <v>1286342.8500000001</v>
      </c>
      <c r="M14" s="15">
        <f t="shared" si="9"/>
        <v>263657.14999999991</v>
      </c>
      <c r="N14" s="15">
        <v>500000</v>
      </c>
      <c r="O14" s="7">
        <f t="shared" si="3"/>
        <v>250000</v>
      </c>
      <c r="P14" s="7">
        <f t="shared" si="4"/>
        <v>263657.14999999991</v>
      </c>
      <c r="Q14" s="7"/>
      <c r="R14" s="7"/>
      <c r="S14" s="7">
        <f t="shared" si="5"/>
        <v>0</v>
      </c>
      <c r="T14" s="7">
        <f t="shared" si="6"/>
        <v>0</v>
      </c>
      <c r="U14" s="7">
        <f t="shared" si="7"/>
        <v>500000</v>
      </c>
      <c r="V14" s="7">
        <f>U14*0.7</f>
        <v>350000</v>
      </c>
      <c r="W14" s="7">
        <f t="shared" si="10"/>
        <v>150000</v>
      </c>
      <c r="X14" s="7"/>
      <c r="Y14" s="6"/>
      <c r="Z14" s="71"/>
      <c r="AA14" s="6" t="s">
        <v>519</v>
      </c>
      <c r="AB14" s="6">
        <v>746000</v>
      </c>
    </row>
    <row r="15" spans="1:28" s="8" customFormat="1" x14ac:dyDescent="0.25">
      <c r="A15" s="6">
        <f t="shared" si="8"/>
        <v>8</v>
      </c>
      <c r="B15" s="6">
        <v>1343</v>
      </c>
      <c r="C15" s="6" t="s">
        <v>243</v>
      </c>
      <c r="D15" s="7">
        <v>6520000</v>
      </c>
      <c r="E15" s="7">
        <v>5120000</v>
      </c>
      <c r="F15" s="7">
        <f t="shared" si="0"/>
        <v>1400000</v>
      </c>
      <c r="G15" s="7">
        <v>4020000</v>
      </c>
      <c r="H15" s="7">
        <v>3487921.07</v>
      </c>
      <c r="I15" s="7">
        <v>210751.29</v>
      </c>
      <c r="J15" s="7">
        <v>124863.59</v>
      </c>
      <c r="K15" s="7">
        <f t="shared" si="1"/>
        <v>335614.88</v>
      </c>
      <c r="L15" s="7">
        <f t="shared" si="2"/>
        <v>3823535.9499999997</v>
      </c>
      <c r="M15" s="15">
        <f t="shared" si="9"/>
        <v>196464.05000000028</v>
      </c>
      <c r="N15" s="15">
        <v>300000</v>
      </c>
      <c r="O15" s="7">
        <f t="shared" si="3"/>
        <v>2200000</v>
      </c>
      <c r="P15" s="7">
        <f t="shared" si="4"/>
        <v>196464.05000000028</v>
      </c>
      <c r="Q15" s="7"/>
      <c r="R15" s="7"/>
      <c r="S15" s="7">
        <f t="shared" si="5"/>
        <v>0</v>
      </c>
      <c r="T15" s="7">
        <f t="shared" si="6"/>
        <v>0</v>
      </c>
      <c r="U15" s="7">
        <f t="shared" si="7"/>
        <v>300000</v>
      </c>
      <c r="V15" s="7">
        <f>U15</f>
        <v>300000</v>
      </c>
      <c r="W15" s="7">
        <f t="shared" si="10"/>
        <v>0</v>
      </c>
      <c r="X15" s="7"/>
      <c r="Y15" s="6"/>
      <c r="Z15" s="71"/>
      <c r="AA15" s="6" t="s">
        <v>519</v>
      </c>
      <c r="AB15" s="6">
        <v>746000</v>
      </c>
    </row>
    <row r="16" spans="1:28" s="8" customFormat="1" x14ac:dyDescent="0.25">
      <c r="A16" s="6">
        <f t="shared" si="8"/>
        <v>9</v>
      </c>
      <c r="B16" s="6">
        <v>1435</v>
      </c>
      <c r="C16" s="6" t="s">
        <v>546</v>
      </c>
      <c r="D16" s="7">
        <f>15000000+1600000</f>
        <v>16600000</v>
      </c>
      <c r="E16" s="7">
        <v>15000000</v>
      </c>
      <c r="F16" s="7">
        <f t="shared" si="0"/>
        <v>1600000</v>
      </c>
      <c r="G16" s="7">
        <v>12100000</v>
      </c>
      <c r="H16" s="7">
        <v>10013171.49</v>
      </c>
      <c r="I16" s="7">
        <v>1727730.42</v>
      </c>
      <c r="J16" s="7">
        <v>38778.959999999999</v>
      </c>
      <c r="K16" s="7">
        <f t="shared" si="1"/>
        <v>1766509.38</v>
      </c>
      <c r="L16" s="7">
        <f t="shared" si="2"/>
        <v>11779680.870000001</v>
      </c>
      <c r="M16" s="7">
        <f t="shared" si="9"/>
        <v>1220319.129999999</v>
      </c>
      <c r="N16" s="7">
        <f>3000000-500000</f>
        <v>2500000</v>
      </c>
      <c r="O16" s="7">
        <f t="shared" si="3"/>
        <v>1100000</v>
      </c>
      <c r="P16" s="7">
        <f t="shared" si="4"/>
        <v>320319.12999999896</v>
      </c>
      <c r="Q16" s="7">
        <v>900000</v>
      </c>
      <c r="R16" s="7"/>
      <c r="S16" s="7">
        <f t="shared" si="5"/>
        <v>900000</v>
      </c>
      <c r="T16" s="7">
        <f t="shared" si="6"/>
        <v>0</v>
      </c>
      <c r="U16" s="7">
        <f t="shared" si="7"/>
        <v>2500000</v>
      </c>
      <c r="V16" s="7">
        <f t="shared" ref="V16" si="11">U16-W16-X16-Y16</f>
        <v>0</v>
      </c>
      <c r="W16" s="7">
        <v>2500000</v>
      </c>
      <c r="X16" s="7"/>
      <c r="Y16" s="7"/>
      <c r="Z16" s="6"/>
      <c r="AA16" s="6"/>
      <c r="AB16" s="6">
        <v>848000</v>
      </c>
    </row>
    <row r="17" spans="1:28" s="8" customFormat="1" x14ac:dyDescent="0.25">
      <c r="A17" s="6">
        <f t="shared" si="8"/>
        <v>10</v>
      </c>
      <c r="B17" s="6">
        <v>1491</v>
      </c>
      <c r="C17" s="6" t="s">
        <v>244</v>
      </c>
      <c r="D17" s="7">
        <v>9530000</v>
      </c>
      <c r="E17" s="7">
        <v>8250000</v>
      </c>
      <c r="F17" s="7">
        <f t="shared" si="0"/>
        <v>1280000</v>
      </c>
      <c r="G17" s="7">
        <v>2800000</v>
      </c>
      <c r="H17" s="7">
        <v>2645760.91</v>
      </c>
      <c r="I17" s="7"/>
      <c r="J17" s="7">
        <v>112777.32</v>
      </c>
      <c r="K17" s="7">
        <f t="shared" si="1"/>
        <v>112777.32</v>
      </c>
      <c r="L17" s="7">
        <f t="shared" si="2"/>
        <v>2758538.23</v>
      </c>
      <c r="M17" s="15">
        <f t="shared" si="9"/>
        <v>41461.770000000019</v>
      </c>
      <c r="N17" s="7">
        <f>3365000-1000000</f>
        <v>2365000</v>
      </c>
      <c r="O17" s="7">
        <f t="shared" si="3"/>
        <v>4365000</v>
      </c>
      <c r="P17" s="7">
        <f t="shared" si="4"/>
        <v>41461.770000000019</v>
      </c>
      <c r="Q17" s="7"/>
      <c r="R17" s="7"/>
      <c r="S17" s="7">
        <f t="shared" si="5"/>
        <v>0</v>
      </c>
      <c r="T17" s="7">
        <f t="shared" si="6"/>
        <v>0</v>
      </c>
      <c r="U17" s="7">
        <f t="shared" si="7"/>
        <v>2365000</v>
      </c>
      <c r="V17" s="7">
        <f>U17</f>
        <v>2365000</v>
      </c>
      <c r="W17" s="7">
        <f t="shared" si="10"/>
        <v>0</v>
      </c>
      <c r="X17" s="7"/>
      <c r="Y17" s="6"/>
      <c r="Z17" s="71"/>
      <c r="AA17" s="6" t="s">
        <v>519</v>
      </c>
      <c r="AB17" s="6">
        <v>746000</v>
      </c>
    </row>
    <row r="18" spans="1:28" s="8" customFormat="1" x14ac:dyDescent="0.25">
      <c r="A18" s="6">
        <f t="shared" si="8"/>
        <v>11</v>
      </c>
      <c r="B18" s="6">
        <v>1504</v>
      </c>
      <c r="C18" s="6" t="s">
        <v>245</v>
      </c>
      <c r="D18" s="7">
        <v>1450000</v>
      </c>
      <c r="E18" s="7">
        <v>1250000</v>
      </c>
      <c r="F18" s="7">
        <f t="shared" si="0"/>
        <v>200000</v>
      </c>
      <c r="G18" s="7">
        <v>1200000</v>
      </c>
      <c r="H18" s="7">
        <v>784519.95</v>
      </c>
      <c r="I18" s="7">
        <v>25420.2</v>
      </c>
      <c r="J18" s="7"/>
      <c r="K18" s="7">
        <f t="shared" si="1"/>
        <v>25420.2</v>
      </c>
      <c r="L18" s="7">
        <f t="shared" si="2"/>
        <v>809940.14999999991</v>
      </c>
      <c r="M18" s="15">
        <f t="shared" si="9"/>
        <v>390059.85000000009</v>
      </c>
      <c r="N18" s="7">
        <v>50000</v>
      </c>
      <c r="O18" s="7">
        <f t="shared" si="3"/>
        <v>200000</v>
      </c>
      <c r="P18" s="7">
        <f t="shared" si="4"/>
        <v>390059.85000000009</v>
      </c>
      <c r="Q18" s="7"/>
      <c r="R18" s="7"/>
      <c r="S18" s="7">
        <f t="shared" si="5"/>
        <v>0</v>
      </c>
      <c r="T18" s="7">
        <f t="shared" si="6"/>
        <v>0</v>
      </c>
      <c r="U18" s="7">
        <f t="shared" si="7"/>
        <v>50000</v>
      </c>
      <c r="V18" s="7"/>
      <c r="W18" s="7">
        <f t="shared" si="10"/>
        <v>50000</v>
      </c>
      <c r="X18" s="7"/>
      <c r="Y18" s="6"/>
      <c r="Z18" s="71"/>
      <c r="AA18" s="6" t="s">
        <v>519</v>
      </c>
      <c r="AB18" s="6">
        <v>746000</v>
      </c>
    </row>
    <row r="19" spans="1:28" s="8" customFormat="1" x14ac:dyDescent="0.25">
      <c r="A19" s="6">
        <f t="shared" si="8"/>
        <v>12</v>
      </c>
      <c r="B19" s="6">
        <v>1531</v>
      </c>
      <c r="C19" s="6" t="s">
        <v>246</v>
      </c>
      <c r="D19" s="7">
        <v>1470000</v>
      </c>
      <c r="E19" s="7">
        <v>1470000</v>
      </c>
      <c r="F19" s="7">
        <f t="shared" si="0"/>
        <v>0</v>
      </c>
      <c r="G19" s="7">
        <v>1470000</v>
      </c>
      <c r="H19" s="7">
        <v>1328673.51</v>
      </c>
      <c r="I19" s="7"/>
      <c r="J19" s="7"/>
      <c r="K19" s="7">
        <f t="shared" si="1"/>
        <v>0</v>
      </c>
      <c r="L19" s="7">
        <f t="shared" si="2"/>
        <v>1328673.51</v>
      </c>
      <c r="M19" s="15">
        <f t="shared" si="9"/>
        <v>141326.49</v>
      </c>
      <c r="N19" s="7">
        <v>0</v>
      </c>
      <c r="O19" s="7">
        <f t="shared" si="3"/>
        <v>0</v>
      </c>
      <c r="P19" s="7">
        <f t="shared" si="4"/>
        <v>141326.49</v>
      </c>
      <c r="Q19" s="7"/>
      <c r="R19" s="7"/>
      <c r="S19" s="7">
        <f t="shared" si="5"/>
        <v>0</v>
      </c>
      <c r="T19" s="7">
        <f t="shared" si="6"/>
        <v>0</v>
      </c>
      <c r="U19" s="7">
        <f t="shared" si="7"/>
        <v>0</v>
      </c>
      <c r="V19" s="7"/>
      <c r="W19" s="7">
        <f t="shared" si="10"/>
        <v>0</v>
      </c>
      <c r="X19" s="7"/>
      <c r="Y19" s="6"/>
      <c r="Z19" s="71"/>
      <c r="AA19" s="6"/>
      <c r="AB19" s="6">
        <v>746000</v>
      </c>
    </row>
    <row r="20" spans="1:28" s="8" customFormat="1" x14ac:dyDescent="0.25">
      <c r="A20" s="6">
        <f t="shared" si="8"/>
        <v>13</v>
      </c>
      <c r="B20" s="6">
        <v>1540</v>
      </c>
      <c r="C20" s="6" t="s">
        <v>247</v>
      </c>
      <c r="D20" s="7">
        <v>850000</v>
      </c>
      <c r="E20" s="7">
        <v>850000</v>
      </c>
      <c r="F20" s="7">
        <f t="shared" si="0"/>
        <v>0</v>
      </c>
      <c r="G20" s="7">
        <v>350000</v>
      </c>
      <c r="H20" s="7">
        <v>347669.3</v>
      </c>
      <c r="I20" s="7"/>
      <c r="J20" s="7"/>
      <c r="K20" s="7">
        <f t="shared" si="1"/>
        <v>0</v>
      </c>
      <c r="L20" s="7">
        <f t="shared" si="2"/>
        <v>347669.3</v>
      </c>
      <c r="M20" s="15">
        <f t="shared" si="9"/>
        <v>2330.7000000000116</v>
      </c>
      <c r="N20" s="7"/>
      <c r="O20" s="7">
        <f t="shared" si="3"/>
        <v>500000</v>
      </c>
      <c r="P20" s="7">
        <f t="shared" si="4"/>
        <v>2330.7000000000116</v>
      </c>
      <c r="Q20" s="7"/>
      <c r="R20" s="7"/>
      <c r="S20" s="7">
        <f t="shared" si="5"/>
        <v>0</v>
      </c>
      <c r="T20" s="7">
        <f t="shared" si="6"/>
        <v>0</v>
      </c>
      <c r="U20" s="7">
        <f t="shared" si="7"/>
        <v>0</v>
      </c>
      <c r="V20" s="7"/>
      <c r="W20" s="7">
        <f t="shared" si="10"/>
        <v>0</v>
      </c>
      <c r="X20" s="7"/>
      <c r="Y20" s="6"/>
      <c r="Z20" s="71"/>
      <c r="AA20" s="6" t="s">
        <v>519</v>
      </c>
      <c r="AB20" s="6">
        <v>746000</v>
      </c>
    </row>
    <row r="21" spans="1:28" s="8" customFormat="1" x14ac:dyDescent="0.25">
      <c r="A21" s="6">
        <f t="shared" si="8"/>
        <v>14</v>
      </c>
      <c r="B21" s="6">
        <v>1564</v>
      </c>
      <c r="C21" s="6" t="s">
        <v>248</v>
      </c>
      <c r="D21" s="7">
        <v>382000</v>
      </c>
      <c r="E21" s="7">
        <v>382000</v>
      </c>
      <c r="F21" s="7">
        <f t="shared" si="0"/>
        <v>0</v>
      </c>
      <c r="G21" s="7">
        <v>350000</v>
      </c>
      <c r="H21" s="7">
        <v>321145.90000000002</v>
      </c>
      <c r="I21" s="7">
        <v>8027.98</v>
      </c>
      <c r="J21" s="7"/>
      <c r="K21" s="7">
        <f t="shared" si="1"/>
        <v>8027.98</v>
      </c>
      <c r="L21" s="7">
        <f t="shared" si="2"/>
        <v>329173.88</v>
      </c>
      <c r="M21" s="15">
        <f t="shared" si="9"/>
        <v>20826.119999999995</v>
      </c>
      <c r="N21" s="7">
        <v>0</v>
      </c>
      <c r="O21" s="7">
        <f t="shared" si="3"/>
        <v>32000</v>
      </c>
      <c r="P21" s="7">
        <f t="shared" si="4"/>
        <v>20826.119999999995</v>
      </c>
      <c r="Q21" s="7"/>
      <c r="R21" s="7"/>
      <c r="S21" s="7">
        <f t="shared" si="5"/>
        <v>0</v>
      </c>
      <c r="T21" s="7">
        <f t="shared" si="6"/>
        <v>0</v>
      </c>
      <c r="U21" s="7">
        <f t="shared" si="7"/>
        <v>0</v>
      </c>
      <c r="V21" s="7"/>
      <c r="W21" s="7">
        <f t="shared" si="10"/>
        <v>0</v>
      </c>
      <c r="X21" s="7"/>
      <c r="Y21" s="6"/>
      <c r="Z21" s="71"/>
      <c r="AA21" s="6"/>
      <c r="AB21" s="6">
        <v>930000</v>
      </c>
    </row>
    <row r="22" spans="1:28" s="8" customFormat="1" x14ac:dyDescent="0.25">
      <c r="A22" s="6">
        <f t="shared" si="8"/>
        <v>15</v>
      </c>
      <c r="B22" s="6">
        <v>1629</v>
      </c>
      <c r="C22" s="6" t="s">
        <v>249</v>
      </c>
      <c r="D22" s="7">
        <v>400000</v>
      </c>
      <c r="E22" s="7">
        <v>350000</v>
      </c>
      <c r="F22" s="7">
        <f t="shared" si="0"/>
        <v>50000</v>
      </c>
      <c r="G22" s="7">
        <v>200000</v>
      </c>
      <c r="H22" s="7">
        <v>99929.19</v>
      </c>
      <c r="I22" s="7"/>
      <c r="J22" s="7"/>
      <c r="K22" s="7">
        <f t="shared" si="1"/>
        <v>0</v>
      </c>
      <c r="L22" s="7">
        <f t="shared" si="2"/>
        <v>99929.19</v>
      </c>
      <c r="M22" s="15">
        <f t="shared" si="9"/>
        <v>100070.81</v>
      </c>
      <c r="N22" s="15">
        <f>100000-50000</f>
        <v>50000</v>
      </c>
      <c r="O22" s="7">
        <f t="shared" si="3"/>
        <v>150000</v>
      </c>
      <c r="P22" s="7">
        <f t="shared" si="4"/>
        <v>100070.81</v>
      </c>
      <c r="Q22" s="7"/>
      <c r="R22" s="7"/>
      <c r="S22" s="7">
        <f t="shared" si="5"/>
        <v>0</v>
      </c>
      <c r="T22" s="7">
        <f t="shared" si="6"/>
        <v>0</v>
      </c>
      <c r="U22" s="7">
        <f t="shared" si="7"/>
        <v>50000</v>
      </c>
      <c r="V22" s="7"/>
      <c r="W22" s="7">
        <f t="shared" si="10"/>
        <v>50000</v>
      </c>
      <c r="X22" s="7"/>
      <c r="Y22" s="6"/>
      <c r="Z22" s="71"/>
      <c r="AA22" s="6" t="s">
        <v>519</v>
      </c>
      <c r="AB22" s="6">
        <v>746000</v>
      </c>
    </row>
    <row r="23" spans="1:28" s="8" customFormat="1" x14ac:dyDescent="0.25">
      <c r="A23" s="6">
        <f t="shared" si="8"/>
        <v>16</v>
      </c>
      <c r="B23" s="6">
        <v>1680</v>
      </c>
      <c r="C23" s="6" t="s">
        <v>250</v>
      </c>
      <c r="D23" s="7">
        <v>950000</v>
      </c>
      <c r="E23" s="7">
        <v>950000</v>
      </c>
      <c r="F23" s="7">
        <f t="shared" si="0"/>
        <v>0</v>
      </c>
      <c r="G23" s="7">
        <v>100000</v>
      </c>
      <c r="H23" s="7">
        <v>0</v>
      </c>
      <c r="I23" s="7">
        <v>41300</v>
      </c>
      <c r="J23" s="7"/>
      <c r="K23" s="7">
        <f t="shared" si="1"/>
        <v>41300</v>
      </c>
      <c r="L23" s="7">
        <f t="shared" si="2"/>
        <v>41300</v>
      </c>
      <c r="M23" s="15">
        <f t="shared" si="9"/>
        <v>58700</v>
      </c>
      <c r="N23" s="7">
        <v>100000</v>
      </c>
      <c r="O23" s="7">
        <f t="shared" si="3"/>
        <v>750000</v>
      </c>
      <c r="P23" s="7">
        <f t="shared" si="4"/>
        <v>58700</v>
      </c>
      <c r="Q23" s="7"/>
      <c r="R23" s="7"/>
      <c r="S23" s="7">
        <f t="shared" si="5"/>
        <v>0</v>
      </c>
      <c r="T23" s="7">
        <f t="shared" si="6"/>
        <v>0</v>
      </c>
      <c r="U23" s="7">
        <f t="shared" si="7"/>
        <v>100000</v>
      </c>
      <c r="V23" s="7"/>
      <c r="W23" s="7">
        <f t="shared" si="10"/>
        <v>100000</v>
      </c>
      <c r="X23" s="7"/>
      <c r="Y23" s="6"/>
      <c r="Z23" s="71"/>
      <c r="AA23" s="6" t="s">
        <v>519</v>
      </c>
      <c r="AB23" s="6">
        <v>746000</v>
      </c>
    </row>
    <row r="24" spans="1:28" s="8" customFormat="1" x14ac:dyDescent="0.25">
      <c r="A24" s="6">
        <f t="shared" si="8"/>
        <v>17</v>
      </c>
      <c r="B24" s="6">
        <v>1803</v>
      </c>
      <c r="C24" s="6" t="s">
        <v>379</v>
      </c>
      <c r="D24" s="7">
        <v>750000</v>
      </c>
      <c r="E24" s="7">
        <v>750000</v>
      </c>
      <c r="F24" s="7">
        <f t="shared" si="0"/>
        <v>0</v>
      </c>
      <c r="G24" s="7">
        <v>200000</v>
      </c>
      <c r="H24" s="7">
        <v>0</v>
      </c>
      <c r="I24" s="7">
        <v>31326.639999999999</v>
      </c>
      <c r="J24" s="7"/>
      <c r="K24" s="7">
        <f t="shared" si="1"/>
        <v>31326.639999999999</v>
      </c>
      <c r="L24" s="7">
        <f t="shared" si="2"/>
        <v>31326.639999999999</v>
      </c>
      <c r="M24" s="15">
        <f t="shared" si="9"/>
        <v>718673.36</v>
      </c>
      <c r="N24" s="7"/>
      <c r="O24" s="7">
        <f t="shared" si="3"/>
        <v>0</v>
      </c>
      <c r="P24" s="7">
        <f t="shared" si="4"/>
        <v>168673.36</v>
      </c>
      <c r="Q24" s="7"/>
      <c r="R24" s="7">
        <v>550000</v>
      </c>
      <c r="S24" s="7">
        <f t="shared" si="5"/>
        <v>550000</v>
      </c>
      <c r="T24" s="7">
        <f t="shared" si="6"/>
        <v>0</v>
      </c>
      <c r="U24" s="7">
        <f t="shared" si="7"/>
        <v>0</v>
      </c>
      <c r="V24" s="7"/>
      <c r="W24" s="7">
        <f t="shared" si="10"/>
        <v>0</v>
      </c>
      <c r="X24" s="7"/>
      <c r="Y24" s="6"/>
      <c r="Z24" s="71"/>
      <c r="AA24" s="6"/>
      <c r="AB24" s="6">
        <v>746000</v>
      </c>
    </row>
    <row r="25" spans="1:28" s="8" customFormat="1" x14ac:dyDescent="0.25">
      <c r="A25" s="6">
        <f t="shared" si="8"/>
        <v>18</v>
      </c>
      <c r="B25" s="6">
        <v>1861</v>
      </c>
      <c r="C25" s="6" t="s">
        <v>520</v>
      </c>
      <c r="D25" s="7">
        <v>270000</v>
      </c>
      <c r="E25" s="7">
        <v>0</v>
      </c>
      <c r="F25" s="7">
        <f t="shared" si="0"/>
        <v>270000</v>
      </c>
      <c r="G25" s="7">
        <v>0</v>
      </c>
      <c r="H25" s="7"/>
      <c r="I25" s="7"/>
      <c r="J25" s="7"/>
      <c r="K25" s="7">
        <f t="shared" si="1"/>
        <v>0</v>
      </c>
      <c r="L25" s="7">
        <f t="shared" si="2"/>
        <v>0</v>
      </c>
      <c r="M25" s="15">
        <f t="shared" si="9"/>
        <v>0</v>
      </c>
      <c r="N25" s="7">
        <v>270000</v>
      </c>
      <c r="O25" s="7">
        <f t="shared" si="3"/>
        <v>0</v>
      </c>
      <c r="P25" s="7">
        <f t="shared" si="4"/>
        <v>0</v>
      </c>
      <c r="Q25" s="7"/>
      <c r="R25" s="7"/>
      <c r="S25" s="7"/>
      <c r="T25" s="7"/>
      <c r="U25" s="7">
        <f t="shared" si="7"/>
        <v>270000</v>
      </c>
      <c r="V25" s="7"/>
      <c r="W25" s="7">
        <f t="shared" si="10"/>
        <v>270000</v>
      </c>
      <c r="X25" s="7"/>
      <c r="Y25" s="6"/>
      <c r="Z25" s="71"/>
      <c r="AA25" s="6"/>
      <c r="AB25" s="6">
        <v>714000</v>
      </c>
    </row>
    <row r="26" spans="1:28" s="13" customFormat="1" ht="15.6" x14ac:dyDescent="0.25">
      <c r="A26" s="11">
        <f>A25</f>
        <v>18</v>
      </c>
      <c r="B26" s="11"/>
      <c r="C26" s="11" t="s">
        <v>251</v>
      </c>
      <c r="D26" s="12">
        <f t="shared" ref="D26:W26" si="12">SUM(D8:D25)</f>
        <v>96312000</v>
      </c>
      <c r="E26" s="12">
        <f t="shared" si="12"/>
        <v>88662000</v>
      </c>
      <c r="F26" s="12">
        <f t="shared" si="12"/>
        <v>7650000</v>
      </c>
      <c r="G26" s="12">
        <f t="shared" si="12"/>
        <v>66430000</v>
      </c>
      <c r="H26" s="12">
        <f t="shared" si="12"/>
        <v>59672613.150000006</v>
      </c>
      <c r="I26" s="12">
        <f t="shared" si="12"/>
        <v>3192639.02</v>
      </c>
      <c r="J26" s="12">
        <f t="shared" si="12"/>
        <v>613467.32999999996</v>
      </c>
      <c r="K26" s="12">
        <f t="shared" si="12"/>
        <v>3806106.35</v>
      </c>
      <c r="L26" s="12">
        <f t="shared" si="12"/>
        <v>63478719.5</v>
      </c>
      <c r="M26" s="12">
        <f t="shared" si="12"/>
        <v>5751280.4999999981</v>
      </c>
      <c r="N26" s="12">
        <f t="shared" si="12"/>
        <v>10465000</v>
      </c>
      <c r="O26" s="12">
        <f t="shared" si="12"/>
        <v>16617000</v>
      </c>
      <c r="P26" s="12">
        <f t="shared" si="12"/>
        <v>2951280.4999999981</v>
      </c>
      <c r="Q26" s="12">
        <f t="shared" si="12"/>
        <v>2250000</v>
      </c>
      <c r="R26" s="12">
        <f t="shared" si="12"/>
        <v>550000</v>
      </c>
      <c r="S26" s="12">
        <f t="shared" si="12"/>
        <v>2800000</v>
      </c>
      <c r="T26" s="12">
        <f t="shared" si="12"/>
        <v>0</v>
      </c>
      <c r="U26" s="12">
        <f t="shared" si="12"/>
        <v>10465000</v>
      </c>
      <c r="V26" s="12">
        <f t="shared" si="12"/>
        <v>7215000</v>
      </c>
      <c r="W26" s="12">
        <f t="shared" si="12"/>
        <v>3250000</v>
      </c>
      <c r="X26" s="12">
        <f>SUM(X8:X24)</f>
        <v>0</v>
      </c>
      <c r="Y26" s="12">
        <f>SUM(Y8:Y24)</f>
        <v>0</v>
      </c>
      <c r="Z26" s="75"/>
      <c r="AA26" s="11"/>
      <c r="AB26" s="11"/>
    </row>
    <row r="27" spans="1:28" s="13" customFormat="1" ht="15.6" x14ac:dyDescent="0.25">
      <c r="A27" s="11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75"/>
      <c r="AA27" s="11"/>
      <c r="AB27" s="11"/>
    </row>
    <row r="28" spans="1:28" s="8" customFormat="1" ht="15.6" x14ac:dyDescent="0.25">
      <c r="A28" s="6"/>
      <c r="B28" s="6"/>
      <c r="C28" s="11" t="s">
        <v>287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>
        <f t="shared" ref="T28" si="13">P28-M28+R28</f>
        <v>0</v>
      </c>
      <c r="U28" s="7">
        <f t="shared" ref="U28:U61" si="14">N28-T28</f>
        <v>0</v>
      </c>
      <c r="V28" s="7"/>
      <c r="W28" s="7"/>
      <c r="X28" s="7"/>
      <c r="Y28" s="6"/>
      <c r="Z28" s="71"/>
      <c r="AA28" s="6"/>
      <c r="AB28" s="6"/>
    </row>
    <row r="29" spans="1:28" s="8" customFormat="1" x14ac:dyDescent="0.25">
      <c r="A29" s="6">
        <v>1</v>
      </c>
      <c r="B29" s="6">
        <v>1492</v>
      </c>
      <c r="C29" s="6" t="s">
        <v>181</v>
      </c>
      <c r="D29" s="7">
        <v>1763529</v>
      </c>
      <c r="E29" s="7">
        <v>1763529</v>
      </c>
      <c r="F29" s="7">
        <f t="shared" ref="F29:F48" si="15">D29-E29</f>
        <v>0</v>
      </c>
      <c r="G29" s="7">
        <v>1763529</v>
      </c>
      <c r="H29" s="7">
        <v>1405040.36</v>
      </c>
      <c r="I29" s="7">
        <v>75000</v>
      </c>
      <c r="J29" s="7">
        <v>274940</v>
      </c>
      <c r="K29" s="7">
        <f t="shared" ref="K29:K38" si="16">SUM(I29:J29)</f>
        <v>349940</v>
      </c>
      <c r="L29" s="7">
        <f t="shared" ref="L29:L44" si="17">H29+K29</f>
        <v>1754980.36</v>
      </c>
      <c r="M29" s="7">
        <f>P29+S29</f>
        <v>8548.6399999998976</v>
      </c>
      <c r="N29" s="7"/>
      <c r="O29" s="7">
        <f t="shared" ref="O29:O48" si="18">D29-L29-M29-N29</f>
        <v>0</v>
      </c>
      <c r="P29" s="7">
        <f t="shared" ref="P29:P48" si="19">G29-L29</f>
        <v>8548.6399999998976</v>
      </c>
      <c r="Q29" s="7"/>
      <c r="R29" s="7"/>
      <c r="S29" s="7">
        <f t="shared" ref="S29:S44" si="20">SUM(Q29:R29)</f>
        <v>0</v>
      </c>
      <c r="T29" s="7">
        <f t="shared" ref="T29:T48" si="21">P29-M29+S29</f>
        <v>0</v>
      </c>
      <c r="U29" s="7">
        <f t="shared" si="14"/>
        <v>0</v>
      </c>
      <c r="V29" s="7"/>
      <c r="W29" s="7">
        <f>U29-V29-X29-Y29</f>
        <v>0</v>
      </c>
      <c r="X29" s="7"/>
      <c r="Y29" s="6"/>
      <c r="Z29" s="71"/>
      <c r="AA29" s="6" t="s">
        <v>521</v>
      </c>
      <c r="AB29" s="6">
        <v>747000</v>
      </c>
    </row>
    <row r="30" spans="1:28" s="8" customFormat="1" x14ac:dyDescent="0.25">
      <c r="A30" s="6">
        <f>A29+1</f>
        <v>2</v>
      </c>
      <c r="B30" s="6">
        <v>1565</v>
      </c>
      <c r="C30" s="6" t="s">
        <v>182</v>
      </c>
      <c r="D30" s="7">
        <v>2200000</v>
      </c>
      <c r="E30" s="7">
        <v>2200000</v>
      </c>
      <c r="F30" s="7">
        <f t="shared" si="15"/>
        <v>0</v>
      </c>
      <c r="G30" s="7">
        <v>2200000</v>
      </c>
      <c r="H30" s="7">
        <v>2080883.07</v>
      </c>
      <c r="I30" s="7"/>
      <c r="J30" s="7">
        <v>119116.91</v>
      </c>
      <c r="K30" s="7">
        <f t="shared" si="16"/>
        <v>119116.91</v>
      </c>
      <c r="L30" s="7">
        <f t="shared" si="17"/>
        <v>2199999.98</v>
      </c>
      <c r="M30" s="7">
        <f t="shared" ref="M30:M44" si="22">P30+S30</f>
        <v>2.0000000018626451E-2</v>
      </c>
      <c r="N30" s="7"/>
      <c r="O30" s="7">
        <f t="shared" si="18"/>
        <v>0</v>
      </c>
      <c r="P30" s="7">
        <f t="shared" si="19"/>
        <v>2.0000000018626451E-2</v>
      </c>
      <c r="Q30" s="7"/>
      <c r="R30" s="7"/>
      <c r="S30" s="7">
        <f t="shared" si="20"/>
        <v>0</v>
      </c>
      <c r="T30" s="7">
        <f t="shared" si="21"/>
        <v>0</v>
      </c>
      <c r="U30" s="7">
        <f t="shared" si="14"/>
        <v>0</v>
      </c>
      <c r="V30" s="7"/>
      <c r="W30" s="7">
        <f t="shared" ref="W30:W48" si="23">U30-V30-X30-Y30</f>
        <v>0</v>
      </c>
      <c r="X30" s="7"/>
      <c r="Y30" s="6"/>
      <c r="Z30" s="71"/>
      <c r="AA30" s="6" t="s">
        <v>446</v>
      </c>
      <c r="AB30" s="6">
        <v>747000</v>
      </c>
    </row>
    <row r="31" spans="1:28" s="8" customFormat="1" x14ac:dyDescent="0.25">
      <c r="A31" s="6">
        <f t="shared" ref="A31:A48" si="24">A30+1</f>
        <v>3</v>
      </c>
      <c r="B31" s="6">
        <v>1630</v>
      </c>
      <c r="C31" s="6" t="s">
        <v>621</v>
      </c>
      <c r="D31" s="7">
        <f>870000+90000</f>
        <v>960000</v>
      </c>
      <c r="E31" s="7">
        <v>870000</v>
      </c>
      <c r="F31" s="7">
        <f t="shared" si="15"/>
        <v>90000</v>
      </c>
      <c r="G31" s="7">
        <v>0</v>
      </c>
      <c r="H31" s="7">
        <v>0</v>
      </c>
      <c r="I31" s="7"/>
      <c r="J31" s="7"/>
      <c r="K31" s="7">
        <f t="shared" si="16"/>
        <v>0</v>
      </c>
      <c r="L31" s="7">
        <f t="shared" si="17"/>
        <v>0</v>
      </c>
      <c r="M31" s="7">
        <f t="shared" si="22"/>
        <v>0</v>
      </c>
      <c r="N31" s="7">
        <v>250000</v>
      </c>
      <c r="O31" s="7">
        <f t="shared" si="18"/>
        <v>710000</v>
      </c>
      <c r="P31" s="7">
        <f t="shared" si="19"/>
        <v>0</v>
      </c>
      <c r="Q31" s="7"/>
      <c r="R31" s="7"/>
      <c r="S31" s="7">
        <f t="shared" si="20"/>
        <v>0</v>
      </c>
      <c r="T31" s="7">
        <f t="shared" si="21"/>
        <v>0</v>
      </c>
      <c r="U31" s="7">
        <f t="shared" si="14"/>
        <v>250000</v>
      </c>
      <c r="V31" s="7"/>
      <c r="W31" s="7">
        <f t="shared" si="23"/>
        <v>250000</v>
      </c>
      <c r="X31" s="7"/>
      <c r="Y31" s="6"/>
      <c r="Z31" s="72"/>
      <c r="AA31" s="6" t="s">
        <v>522</v>
      </c>
      <c r="AB31" s="6">
        <v>747000</v>
      </c>
    </row>
    <row r="32" spans="1:28" s="8" customFormat="1" x14ac:dyDescent="0.25">
      <c r="A32" s="6">
        <f t="shared" si="24"/>
        <v>4</v>
      </c>
      <c r="B32" s="6">
        <v>1633</v>
      </c>
      <c r="C32" s="6" t="s">
        <v>183</v>
      </c>
      <c r="D32" s="7">
        <v>100000</v>
      </c>
      <c r="E32" s="7">
        <v>100000</v>
      </c>
      <c r="F32" s="7">
        <f t="shared" si="15"/>
        <v>0</v>
      </c>
      <c r="G32" s="7">
        <v>100000</v>
      </c>
      <c r="H32" s="7">
        <v>73008</v>
      </c>
      <c r="I32" s="7">
        <v>14090.4</v>
      </c>
      <c r="J32" s="7"/>
      <c r="K32" s="7">
        <f t="shared" si="16"/>
        <v>14090.4</v>
      </c>
      <c r="L32" s="7">
        <f t="shared" si="17"/>
        <v>87098.4</v>
      </c>
      <c r="M32" s="7">
        <f t="shared" si="22"/>
        <v>12901.600000000006</v>
      </c>
      <c r="N32" s="7"/>
      <c r="O32" s="7">
        <f t="shared" si="18"/>
        <v>0</v>
      </c>
      <c r="P32" s="7">
        <f t="shared" si="19"/>
        <v>12901.600000000006</v>
      </c>
      <c r="Q32" s="7"/>
      <c r="R32" s="7"/>
      <c r="S32" s="7">
        <f t="shared" si="20"/>
        <v>0</v>
      </c>
      <c r="T32" s="7">
        <f t="shared" si="21"/>
        <v>0</v>
      </c>
      <c r="U32" s="7">
        <f t="shared" si="14"/>
        <v>0</v>
      </c>
      <c r="V32" s="7"/>
      <c r="W32" s="7">
        <f t="shared" si="23"/>
        <v>0</v>
      </c>
      <c r="X32" s="7"/>
      <c r="Y32" s="6"/>
      <c r="Z32" s="71"/>
      <c r="AA32" s="6" t="s">
        <v>521</v>
      </c>
      <c r="AB32" s="6">
        <v>747000</v>
      </c>
    </row>
    <row r="33" spans="1:28" s="8" customFormat="1" x14ac:dyDescent="0.25">
      <c r="A33" s="6">
        <f t="shared" si="24"/>
        <v>5</v>
      </c>
      <c r="B33" s="6">
        <v>1634</v>
      </c>
      <c r="C33" s="6" t="s">
        <v>184</v>
      </c>
      <c r="D33" s="7">
        <v>50000</v>
      </c>
      <c r="E33" s="7">
        <v>50000</v>
      </c>
      <c r="F33" s="7">
        <f t="shared" si="15"/>
        <v>0</v>
      </c>
      <c r="G33" s="7">
        <v>50000</v>
      </c>
      <c r="H33" s="7">
        <v>36036</v>
      </c>
      <c r="I33" s="7"/>
      <c r="J33" s="7"/>
      <c r="K33" s="7">
        <f t="shared" si="16"/>
        <v>0</v>
      </c>
      <c r="L33" s="7">
        <f t="shared" si="17"/>
        <v>36036</v>
      </c>
      <c r="M33" s="7">
        <f t="shared" si="22"/>
        <v>13964</v>
      </c>
      <c r="N33" s="7"/>
      <c r="O33" s="7">
        <f t="shared" si="18"/>
        <v>0</v>
      </c>
      <c r="P33" s="7">
        <f t="shared" si="19"/>
        <v>13964</v>
      </c>
      <c r="Q33" s="7"/>
      <c r="R33" s="7"/>
      <c r="S33" s="7">
        <f t="shared" si="20"/>
        <v>0</v>
      </c>
      <c r="T33" s="7">
        <f t="shared" si="21"/>
        <v>0</v>
      </c>
      <c r="U33" s="7">
        <f t="shared" si="14"/>
        <v>0</v>
      </c>
      <c r="V33" s="7"/>
      <c r="W33" s="7">
        <f t="shared" si="23"/>
        <v>0</v>
      </c>
      <c r="X33" s="7"/>
      <c r="Y33" s="6"/>
      <c r="Z33" s="71"/>
      <c r="AA33" s="6" t="s">
        <v>521</v>
      </c>
      <c r="AB33" s="6">
        <v>747000</v>
      </c>
    </row>
    <row r="34" spans="1:28" s="8" customFormat="1" x14ac:dyDescent="0.25">
      <c r="A34" s="6">
        <f t="shared" si="24"/>
        <v>6</v>
      </c>
      <c r="B34" s="6">
        <v>1635</v>
      </c>
      <c r="C34" s="6" t="s">
        <v>622</v>
      </c>
      <c r="D34" s="7">
        <v>65000</v>
      </c>
      <c r="E34" s="7">
        <v>65000</v>
      </c>
      <c r="F34" s="7">
        <f t="shared" si="15"/>
        <v>0</v>
      </c>
      <c r="G34" s="7">
        <v>65000</v>
      </c>
      <c r="H34" s="7">
        <v>65000</v>
      </c>
      <c r="I34" s="7"/>
      <c r="J34" s="7"/>
      <c r="K34" s="7">
        <f t="shared" si="16"/>
        <v>0</v>
      </c>
      <c r="L34" s="7">
        <f t="shared" si="17"/>
        <v>65000</v>
      </c>
      <c r="M34" s="7">
        <f t="shared" si="22"/>
        <v>0</v>
      </c>
      <c r="N34" s="7"/>
      <c r="O34" s="7">
        <f t="shared" si="18"/>
        <v>0</v>
      </c>
      <c r="P34" s="7">
        <f t="shared" si="19"/>
        <v>0</v>
      </c>
      <c r="Q34" s="7"/>
      <c r="R34" s="7"/>
      <c r="S34" s="7">
        <f t="shared" si="20"/>
        <v>0</v>
      </c>
      <c r="T34" s="7">
        <f t="shared" si="21"/>
        <v>0</v>
      </c>
      <c r="U34" s="7">
        <f t="shared" si="14"/>
        <v>0</v>
      </c>
      <c r="V34" s="7"/>
      <c r="W34" s="7">
        <f t="shared" si="23"/>
        <v>0</v>
      </c>
      <c r="X34" s="7"/>
      <c r="Y34" s="6"/>
      <c r="Z34" s="71"/>
      <c r="AA34" s="6" t="s">
        <v>446</v>
      </c>
      <c r="AB34" s="6">
        <v>747000</v>
      </c>
    </row>
    <row r="35" spans="1:28" s="8" customFormat="1" x14ac:dyDescent="0.25">
      <c r="A35" s="6">
        <f t="shared" si="24"/>
        <v>7</v>
      </c>
      <c r="B35" s="6">
        <v>1642</v>
      </c>
      <c r="C35" s="6" t="s">
        <v>185</v>
      </c>
      <c r="D35" s="7">
        <v>50000</v>
      </c>
      <c r="E35" s="7">
        <v>50000</v>
      </c>
      <c r="F35" s="7">
        <f t="shared" si="15"/>
        <v>0</v>
      </c>
      <c r="G35" s="7">
        <v>50000</v>
      </c>
      <c r="H35" s="7">
        <v>48082</v>
      </c>
      <c r="I35" s="7">
        <v>1918</v>
      </c>
      <c r="J35" s="7"/>
      <c r="K35" s="7">
        <f t="shared" si="16"/>
        <v>1918</v>
      </c>
      <c r="L35" s="7">
        <f t="shared" si="17"/>
        <v>50000</v>
      </c>
      <c r="M35" s="7">
        <f t="shared" si="22"/>
        <v>0</v>
      </c>
      <c r="N35" s="7"/>
      <c r="O35" s="7">
        <f t="shared" si="18"/>
        <v>0</v>
      </c>
      <c r="P35" s="7">
        <f t="shared" si="19"/>
        <v>0</v>
      </c>
      <c r="Q35" s="7"/>
      <c r="R35" s="7"/>
      <c r="S35" s="7">
        <f t="shared" si="20"/>
        <v>0</v>
      </c>
      <c r="T35" s="7">
        <f t="shared" si="21"/>
        <v>0</v>
      </c>
      <c r="U35" s="7">
        <f t="shared" si="14"/>
        <v>0</v>
      </c>
      <c r="V35" s="7"/>
      <c r="W35" s="7">
        <f t="shared" si="23"/>
        <v>0</v>
      </c>
      <c r="X35" s="7"/>
      <c r="Y35" s="6"/>
      <c r="Z35" s="71"/>
      <c r="AA35" s="6" t="s">
        <v>446</v>
      </c>
      <c r="AB35" s="6">
        <v>747000</v>
      </c>
    </row>
    <row r="36" spans="1:28" s="8" customFormat="1" x14ac:dyDescent="0.25">
      <c r="A36" s="6">
        <f t="shared" si="24"/>
        <v>8</v>
      </c>
      <c r="B36" s="6">
        <v>1644</v>
      </c>
      <c r="C36" s="6" t="s">
        <v>186</v>
      </c>
      <c r="D36" s="7">
        <v>90000</v>
      </c>
      <c r="E36" s="7">
        <v>90000</v>
      </c>
      <c r="F36" s="7">
        <f t="shared" si="15"/>
        <v>0</v>
      </c>
      <c r="G36" s="7">
        <v>90000</v>
      </c>
      <c r="H36" s="7">
        <v>89999.89</v>
      </c>
      <c r="I36" s="7"/>
      <c r="J36" s="7"/>
      <c r="K36" s="7">
        <f t="shared" si="16"/>
        <v>0</v>
      </c>
      <c r="L36" s="7">
        <f t="shared" si="17"/>
        <v>89999.89</v>
      </c>
      <c r="M36" s="7">
        <f t="shared" si="22"/>
        <v>0.11000000000058208</v>
      </c>
      <c r="N36" s="7"/>
      <c r="O36" s="7">
        <f t="shared" si="18"/>
        <v>0</v>
      </c>
      <c r="P36" s="7">
        <f t="shared" si="19"/>
        <v>0.11000000000058208</v>
      </c>
      <c r="Q36" s="7"/>
      <c r="R36" s="7"/>
      <c r="S36" s="7">
        <f t="shared" si="20"/>
        <v>0</v>
      </c>
      <c r="T36" s="7">
        <f t="shared" si="21"/>
        <v>0</v>
      </c>
      <c r="U36" s="7">
        <f t="shared" si="14"/>
        <v>0</v>
      </c>
      <c r="V36" s="7"/>
      <c r="W36" s="7">
        <f t="shared" si="23"/>
        <v>0</v>
      </c>
      <c r="X36" s="7"/>
      <c r="Y36" s="7"/>
      <c r="Z36" s="71"/>
      <c r="AA36" s="6" t="s">
        <v>446</v>
      </c>
      <c r="AB36" s="6">
        <v>747000</v>
      </c>
    </row>
    <row r="37" spans="1:28" s="8" customFormat="1" x14ac:dyDescent="0.25">
      <c r="A37" s="6">
        <f t="shared" si="24"/>
        <v>9</v>
      </c>
      <c r="B37" s="6">
        <v>1682</v>
      </c>
      <c r="C37" s="6" t="s">
        <v>187</v>
      </c>
      <c r="D37" s="7">
        <v>50000</v>
      </c>
      <c r="E37" s="7">
        <v>50000</v>
      </c>
      <c r="F37" s="7">
        <f t="shared" si="15"/>
        <v>0</v>
      </c>
      <c r="G37" s="7">
        <v>50000</v>
      </c>
      <c r="H37" s="7">
        <v>49992</v>
      </c>
      <c r="I37" s="7"/>
      <c r="J37" s="7"/>
      <c r="K37" s="7">
        <f t="shared" si="16"/>
        <v>0</v>
      </c>
      <c r="L37" s="7">
        <f t="shared" si="17"/>
        <v>49992</v>
      </c>
      <c r="M37" s="7">
        <f t="shared" si="22"/>
        <v>8</v>
      </c>
      <c r="N37" s="7"/>
      <c r="O37" s="7">
        <f t="shared" si="18"/>
        <v>0</v>
      </c>
      <c r="P37" s="7">
        <f t="shared" si="19"/>
        <v>8</v>
      </c>
      <c r="Q37" s="7"/>
      <c r="R37" s="7"/>
      <c r="S37" s="7">
        <f t="shared" si="20"/>
        <v>0</v>
      </c>
      <c r="T37" s="7">
        <f t="shared" si="21"/>
        <v>0</v>
      </c>
      <c r="U37" s="7">
        <f t="shared" si="14"/>
        <v>0</v>
      </c>
      <c r="V37" s="7"/>
      <c r="W37" s="7">
        <f t="shared" si="23"/>
        <v>0</v>
      </c>
      <c r="X37" s="7"/>
      <c r="Y37" s="7"/>
      <c r="Z37" s="71"/>
      <c r="AA37" s="6" t="s">
        <v>446</v>
      </c>
      <c r="AB37" s="6">
        <v>747000</v>
      </c>
    </row>
    <row r="38" spans="1:28" s="8" customFormat="1" x14ac:dyDescent="0.25">
      <c r="A38" s="6">
        <f t="shared" si="24"/>
        <v>10</v>
      </c>
      <c r="B38" s="6">
        <v>1683</v>
      </c>
      <c r="C38" s="6" t="s">
        <v>188</v>
      </c>
      <c r="D38" s="7">
        <v>2300000</v>
      </c>
      <c r="E38" s="7">
        <v>2500000</v>
      </c>
      <c r="F38" s="7">
        <f t="shared" si="15"/>
        <v>-200000</v>
      </c>
      <c r="G38" s="7">
        <v>2300000</v>
      </c>
      <c r="H38" s="7">
        <v>1959239.18</v>
      </c>
      <c r="I38" s="7">
        <v>288913.02</v>
      </c>
      <c r="J38" s="7">
        <v>30687.91</v>
      </c>
      <c r="K38" s="7">
        <f t="shared" si="16"/>
        <v>319600.93</v>
      </c>
      <c r="L38" s="7">
        <f t="shared" si="17"/>
        <v>2278840.11</v>
      </c>
      <c r="M38" s="7">
        <f t="shared" si="22"/>
        <v>21159.89000000013</v>
      </c>
      <c r="N38" s="7"/>
      <c r="O38" s="7">
        <f t="shared" si="18"/>
        <v>0</v>
      </c>
      <c r="P38" s="7">
        <f t="shared" si="19"/>
        <v>21159.89000000013</v>
      </c>
      <c r="Q38" s="7"/>
      <c r="R38" s="7"/>
      <c r="S38" s="7">
        <f t="shared" si="20"/>
        <v>0</v>
      </c>
      <c r="T38" s="7">
        <f t="shared" si="21"/>
        <v>0</v>
      </c>
      <c r="U38" s="7">
        <f t="shared" si="14"/>
        <v>0</v>
      </c>
      <c r="V38" s="7"/>
      <c r="W38" s="7">
        <f t="shared" si="23"/>
        <v>0</v>
      </c>
      <c r="X38" s="7"/>
      <c r="Y38" s="7"/>
      <c r="Z38" s="71"/>
      <c r="AA38" s="6" t="s">
        <v>521</v>
      </c>
      <c r="AB38" s="6">
        <v>747000</v>
      </c>
    </row>
    <row r="39" spans="1:28" s="8" customFormat="1" x14ac:dyDescent="0.25">
      <c r="A39" s="6">
        <f t="shared" si="24"/>
        <v>11</v>
      </c>
      <c r="B39" s="6">
        <v>1684</v>
      </c>
      <c r="C39" s="6" t="s">
        <v>189</v>
      </c>
      <c r="D39" s="7">
        <v>300000</v>
      </c>
      <c r="E39" s="7">
        <v>150000</v>
      </c>
      <c r="F39" s="7">
        <f t="shared" si="15"/>
        <v>150000</v>
      </c>
      <c r="G39" s="7">
        <v>150000</v>
      </c>
      <c r="H39" s="7">
        <v>34102</v>
      </c>
      <c r="I39" s="7">
        <v>75157.8</v>
      </c>
      <c r="J39" s="7"/>
      <c r="K39" s="7">
        <f t="shared" ref="K39:K43" si="25">SUM(I39:J39)</f>
        <v>75157.8</v>
      </c>
      <c r="L39" s="7">
        <f t="shared" si="17"/>
        <v>109259.8</v>
      </c>
      <c r="M39" s="7">
        <f t="shared" si="22"/>
        <v>40740.199999999997</v>
      </c>
      <c r="N39" s="7">
        <v>50000</v>
      </c>
      <c r="O39" s="7">
        <f t="shared" si="18"/>
        <v>100000</v>
      </c>
      <c r="P39" s="7">
        <f t="shared" si="19"/>
        <v>40740.199999999997</v>
      </c>
      <c r="Q39" s="7"/>
      <c r="R39" s="7"/>
      <c r="S39" s="7">
        <f t="shared" si="20"/>
        <v>0</v>
      </c>
      <c r="T39" s="7">
        <f t="shared" si="21"/>
        <v>0</v>
      </c>
      <c r="U39" s="7">
        <f t="shared" si="14"/>
        <v>50000</v>
      </c>
      <c r="V39" s="7"/>
      <c r="W39" s="7">
        <f t="shared" si="23"/>
        <v>50000</v>
      </c>
      <c r="X39" s="7"/>
      <c r="Y39" s="7"/>
      <c r="Z39" s="71"/>
      <c r="AA39" s="6"/>
      <c r="AB39" s="6">
        <v>747000</v>
      </c>
    </row>
    <row r="40" spans="1:28" s="8" customFormat="1" x14ac:dyDescent="0.25">
      <c r="A40" s="6">
        <f t="shared" si="24"/>
        <v>12</v>
      </c>
      <c r="B40" s="6">
        <v>1700</v>
      </c>
      <c r="C40" s="6" t="s">
        <v>190</v>
      </c>
      <c r="D40" s="7">
        <v>72000</v>
      </c>
      <c r="E40" s="7">
        <v>72000</v>
      </c>
      <c r="F40" s="7">
        <f t="shared" si="15"/>
        <v>0</v>
      </c>
      <c r="G40" s="7">
        <v>72000</v>
      </c>
      <c r="H40" s="7">
        <v>56971</v>
      </c>
      <c r="I40" s="7"/>
      <c r="J40" s="7"/>
      <c r="K40" s="7">
        <f t="shared" si="25"/>
        <v>0</v>
      </c>
      <c r="L40" s="7">
        <f t="shared" si="17"/>
        <v>56971</v>
      </c>
      <c r="M40" s="7">
        <f t="shared" si="22"/>
        <v>15029</v>
      </c>
      <c r="N40" s="7"/>
      <c r="O40" s="7">
        <f t="shared" si="18"/>
        <v>0</v>
      </c>
      <c r="P40" s="7">
        <f t="shared" si="19"/>
        <v>15029</v>
      </c>
      <c r="Q40" s="7"/>
      <c r="R40" s="7"/>
      <c r="S40" s="7">
        <f t="shared" si="20"/>
        <v>0</v>
      </c>
      <c r="T40" s="7">
        <f t="shared" si="21"/>
        <v>0</v>
      </c>
      <c r="U40" s="7">
        <f t="shared" si="14"/>
        <v>0</v>
      </c>
      <c r="V40" s="7"/>
      <c r="W40" s="7">
        <f t="shared" si="23"/>
        <v>0</v>
      </c>
      <c r="X40" s="7"/>
      <c r="Y40" s="7"/>
      <c r="Z40" s="71"/>
      <c r="AA40" s="6" t="s">
        <v>521</v>
      </c>
      <c r="AB40" s="6">
        <v>747000</v>
      </c>
    </row>
    <row r="41" spans="1:28" s="8" customFormat="1" x14ac:dyDescent="0.25">
      <c r="A41" s="6">
        <f t="shared" si="24"/>
        <v>13</v>
      </c>
      <c r="B41" s="6">
        <v>1780</v>
      </c>
      <c r="C41" s="6" t="s">
        <v>191</v>
      </c>
      <c r="D41" s="7">
        <v>70000</v>
      </c>
      <c r="E41" s="7">
        <v>70000</v>
      </c>
      <c r="F41" s="7">
        <f t="shared" si="15"/>
        <v>0</v>
      </c>
      <c r="G41" s="7">
        <v>70000</v>
      </c>
      <c r="H41" s="7">
        <v>22302</v>
      </c>
      <c r="I41" s="7">
        <v>45164</v>
      </c>
      <c r="J41" s="7"/>
      <c r="K41" s="7">
        <f t="shared" ref="K41:K42" si="26">SUM(I41:J41)</f>
        <v>45164</v>
      </c>
      <c r="L41" s="7">
        <f t="shared" si="17"/>
        <v>67466</v>
      </c>
      <c r="M41" s="7">
        <f t="shared" si="22"/>
        <v>2534</v>
      </c>
      <c r="N41" s="7"/>
      <c r="O41" s="7">
        <f t="shared" si="18"/>
        <v>0</v>
      </c>
      <c r="P41" s="7">
        <f t="shared" si="19"/>
        <v>2534</v>
      </c>
      <c r="Q41" s="7"/>
      <c r="R41" s="7"/>
      <c r="S41" s="7">
        <f t="shared" si="20"/>
        <v>0</v>
      </c>
      <c r="T41" s="7">
        <f t="shared" si="21"/>
        <v>0</v>
      </c>
      <c r="U41" s="7">
        <f t="shared" si="14"/>
        <v>0</v>
      </c>
      <c r="V41" s="7"/>
      <c r="W41" s="7">
        <f t="shared" si="23"/>
        <v>0</v>
      </c>
      <c r="X41" s="7"/>
      <c r="Y41" s="7"/>
      <c r="Z41" s="71"/>
      <c r="AA41" s="6" t="s">
        <v>521</v>
      </c>
      <c r="AB41" s="6">
        <v>747000</v>
      </c>
    </row>
    <row r="42" spans="1:28" s="8" customFormat="1" x14ac:dyDescent="0.25">
      <c r="A42" s="6">
        <f t="shared" si="24"/>
        <v>14</v>
      </c>
      <c r="B42" s="6">
        <v>1781</v>
      </c>
      <c r="C42" s="6" t="s">
        <v>192</v>
      </c>
      <c r="D42" s="7">
        <v>160000</v>
      </c>
      <c r="E42" s="7">
        <v>160000</v>
      </c>
      <c r="F42" s="7">
        <f t="shared" si="15"/>
        <v>0</v>
      </c>
      <c r="G42" s="7">
        <v>160000</v>
      </c>
      <c r="H42" s="7">
        <v>0</v>
      </c>
      <c r="I42" s="7"/>
      <c r="J42" s="7"/>
      <c r="K42" s="7">
        <f t="shared" si="26"/>
        <v>0</v>
      </c>
      <c r="L42" s="7">
        <f t="shared" si="17"/>
        <v>0</v>
      </c>
      <c r="M42" s="7">
        <f t="shared" si="22"/>
        <v>160000</v>
      </c>
      <c r="N42" s="7"/>
      <c r="O42" s="7">
        <f t="shared" si="18"/>
        <v>0</v>
      </c>
      <c r="P42" s="7">
        <f t="shared" si="19"/>
        <v>160000</v>
      </c>
      <c r="Q42" s="7"/>
      <c r="R42" s="7"/>
      <c r="S42" s="7">
        <f t="shared" si="20"/>
        <v>0</v>
      </c>
      <c r="T42" s="7">
        <f t="shared" si="21"/>
        <v>0</v>
      </c>
      <c r="U42" s="7">
        <f t="shared" si="14"/>
        <v>0</v>
      </c>
      <c r="V42" s="7"/>
      <c r="W42" s="7">
        <f t="shared" si="23"/>
        <v>0</v>
      </c>
      <c r="X42" s="7"/>
      <c r="Y42" s="7"/>
      <c r="Z42" s="71"/>
      <c r="AA42" s="6"/>
      <c r="AB42" s="6">
        <v>747000</v>
      </c>
    </row>
    <row r="43" spans="1:28" s="8" customFormat="1" x14ac:dyDescent="0.25">
      <c r="A43" s="6">
        <f t="shared" si="24"/>
        <v>15</v>
      </c>
      <c r="B43" s="6">
        <v>1782</v>
      </c>
      <c r="C43" s="6" t="s">
        <v>193</v>
      </c>
      <c r="D43" s="7">
        <v>85000</v>
      </c>
      <c r="E43" s="7">
        <v>85000</v>
      </c>
      <c r="F43" s="7">
        <f t="shared" si="15"/>
        <v>0</v>
      </c>
      <c r="G43" s="7">
        <v>85000</v>
      </c>
      <c r="H43" s="7">
        <v>63962</v>
      </c>
      <c r="I43" s="7"/>
      <c r="J43" s="7"/>
      <c r="K43" s="7">
        <f t="shared" si="25"/>
        <v>0</v>
      </c>
      <c r="L43" s="7">
        <f t="shared" si="17"/>
        <v>63962</v>
      </c>
      <c r="M43" s="7">
        <f t="shared" si="22"/>
        <v>21038</v>
      </c>
      <c r="N43" s="7"/>
      <c r="O43" s="7">
        <f t="shared" si="18"/>
        <v>0</v>
      </c>
      <c r="P43" s="7">
        <f t="shared" si="19"/>
        <v>21038</v>
      </c>
      <c r="Q43" s="7"/>
      <c r="R43" s="7"/>
      <c r="S43" s="7">
        <f t="shared" si="20"/>
        <v>0</v>
      </c>
      <c r="T43" s="7">
        <f t="shared" si="21"/>
        <v>0</v>
      </c>
      <c r="U43" s="7">
        <f t="shared" si="14"/>
        <v>0</v>
      </c>
      <c r="V43" s="7"/>
      <c r="W43" s="7">
        <f t="shared" si="23"/>
        <v>0</v>
      </c>
      <c r="X43" s="7"/>
      <c r="Y43" s="7"/>
      <c r="Z43" s="71"/>
      <c r="AA43" s="6"/>
      <c r="AB43" s="6">
        <v>747000</v>
      </c>
    </row>
    <row r="44" spans="1:28" s="8" customFormat="1" x14ac:dyDescent="0.25">
      <c r="A44" s="6">
        <f t="shared" si="24"/>
        <v>16</v>
      </c>
      <c r="B44" s="6">
        <v>1783</v>
      </c>
      <c r="C44" s="6" t="s">
        <v>194</v>
      </c>
      <c r="D44" s="7">
        <v>127000</v>
      </c>
      <c r="E44" s="7">
        <v>127000</v>
      </c>
      <c r="F44" s="7">
        <f t="shared" si="15"/>
        <v>0</v>
      </c>
      <c r="G44" s="7">
        <v>127000</v>
      </c>
      <c r="H44" s="7">
        <v>71060</v>
      </c>
      <c r="I44" s="7">
        <v>2939</v>
      </c>
      <c r="J44" s="7"/>
      <c r="K44" s="7">
        <f t="shared" ref="K44" si="27">SUM(I44:J44)</f>
        <v>2939</v>
      </c>
      <c r="L44" s="7">
        <f t="shared" si="17"/>
        <v>73999</v>
      </c>
      <c r="M44" s="7">
        <f t="shared" si="22"/>
        <v>53001</v>
      </c>
      <c r="N44" s="7"/>
      <c r="O44" s="7">
        <f t="shared" si="18"/>
        <v>0</v>
      </c>
      <c r="P44" s="7">
        <f t="shared" si="19"/>
        <v>53001</v>
      </c>
      <c r="Q44" s="7"/>
      <c r="R44" s="7"/>
      <c r="S44" s="7">
        <f t="shared" si="20"/>
        <v>0</v>
      </c>
      <c r="T44" s="7">
        <f t="shared" si="21"/>
        <v>0</v>
      </c>
      <c r="U44" s="7">
        <f t="shared" si="14"/>
        <v>0</v>
      </c>
      <c r="V44" s="7"/>
      <c r="W44" s="7">
        <f t="shared" si="23"/>
        <v>0</v>
      </c>
      <c r="X44" s="7"/>
      <c r="Y44" s="7"/>
      <c r="Z44" s="71"/>
      <c r="AA44" s="6"/>
      <c r="AB44" s="6">
        <v>747000</v>
      </c>
    </row>
    <row r="45" spans="1:28" s="8" customFormat="1" x14ac:dyDescent="0.25">
      <c r="A45" s="6">
        <f t="shared" si="24"/>
        <v>17</v>
      </c>
      <c r="B45" s="6">
        <v>1862</v>
      </c>
      <c r="C45" s="6" t="s">
        <v>523</v>
      </c>
      <c r="D45" s="7">
        <v>3000000</v>
      </c>
      <c r="E45" s="7">
        <v>0</v>
      </c>
      <c r="F45" s="7">
        <f t="shared" si="15"/>
        <v>3000000</v>
      </c>
      <c r="G45" s="7"/>
      <c r="H45" s="7"/>
      <c r="I45" s="7"/>
      <c r="J45" s="7"/>
      <c r="K45" s="7"/>
      <c r="L45" s="7"/>
      <c r="M45" s="7"/>
      <c r="N45" s="7">
        <f>1200000-200000</f>
        <v>1000000</v>
      </c>
      <c r="O45" s="7">
        <f t="shared" si="18"/>
        <v>2000000</v>
      </c>
      <c r="P45" s="7">
        <f t="shared" si="19"/>
        <v>0</v>
      </c>
      <c r="Q45" s="7"/>
      <c r="R45" s="7"/>
      <c r="S45" s="7">
        <f t="shared" ref="S45" si="28">SUM(Q45:R45)</f>
        <v>0</v>
      </c>
      <c r="T45" s="7">
        <f t="shared" si="21"/>
        <v>0</v>
      </c>
      <c r="U45" s="7">
        <f t="shared" si="14"/>
        <v>1000000</v>
      </c>
      <c r="V45" s="7"/>
      <c r="W45" s="7">
        <f t="shared" si="23"/>
        <v>1000000</v>
      </c>
      <c r="X45" s="7"/>
      <c r="Y45" s="7"/>
      <c r="Z45" s="71"/>
      <c r="AA45" s="6" t="s">
        <v>524</v>
      </c>
      <c r="AB45" s="6">
        <v>747000</v>
      </c>
    </row>
    <row r="46" spans="1:28" s="8" customFormat="1" x14ac:dyDescent="0.25">
      <c r="A46" s="6">
        <f t="shared" si="24"/>
        <v>18</v>
      </c>
      <c r="B46" s="6">
        <v>1863</v>
      </c>
      <c r="C46" s="6" t="s">
        <v>525</v>
      </c>
      <c r="D46" s="7">
        <v>70000</v>
      </c>
      <c r="E46" s="7">
        <v>0</v>
      </c>
      <c r="F46" s="7">
        <f t="shared" ref="F46" si="29">D46-E46</f>
        <v>70000</v>
      </c>
      <c r="G46" s="7"/>
      <c r="H46" s="7"/>
      <c r="I46" s="7"/>
      <c r="J46" s="7"/>
      <c r="K46" s="7"/>
      <c r="L46" s="7"/>
      <c r="M46" s="7"/>
      <c r="N46" s="7">
        <v>70000</v>
      </c>
      <c r="O46" s="7">
        <f t="shared" ref="O46" si="30">D46-L46-M46-N46</f>
        <v>0</v>
      </c>
      <c r="P46" s="7">
        <f t="shared" ref="P46" si="31">G46-L46</f>
        <v>0</v>
      </c>
      <c r="Q46" s="7"/>
      <c r="R46" s="7"/>
      <c r="S46" s="7">
        <f t="shared" ref="S46" si="32">SUM(Q46:R46)</f>
        <v>0</v>
      </c>
      <c r="T46" s="7">
        <f t="shared" ref="T46" si="33">P46-M46+S46</f>
        <v>0</v>
      </c>
      <c r="U46" s="7">
        <f t="shared" ref="U46" si="34">N46-T46</f>
        <v>70000</v>
      </c>
      <c r="V46" s="7"/>
      <c r="W46" s="7">
        <f t="shared" ref="W46" si="35">U46-V46-X46-Y46</f>
        <v>0</v>
      </c>
      <c r="X46" s="7"/>
      <c r="Y46" s="7">
        <v>70000</v>
      </c>
      <c r="Z46" s="71"/>
      <c r="AA46" s="6" t="s">
        <v>522</v>
      </c>
      <c r="AB46" s="6">
        <v>747000</v>
      </c>
    </row>
    <row r="47" spans="1:28" s="8" customFormat="1" x14ac:dyDescent="0.25">
      <c r="A47" s="6">
        <f t="shared" si="24"/>
        <v>19</v>
      </c>
      <c r="B47" s="6">
        <v>1864</v>
      </c>
      <c r="C47" s="6" t="s">
        <v>609</v>
      </c>
      <c r="D47" s="7">
        <v>1500000</v>
      </c>
      <c r="E47" s="7">
        <v>0</v>
      </c>
      <c r="F47" s="7">
        <f t="shared" si="15"/>
        <v>1500000</v>
      </c>
      <c r="G47" s="7"/>
      <c r="H47" s="7"/>
      <c r="I47" s="7"/>
      <c r="J47" s="7"/>
      <c r="K47" s="7"/>
      <c r="L47" s="7"/>
      <c r="M47" s="7"/>
      <c r="N47" s="7">
        <v>1500000</v>
      </c>
      <c r="O47" s="7">
        <f t="shared" si="18"/>
        <v>0</v>
      </c>
      <c r="P47" s="7">
        <f t="shared" si="19"/>
        <v>0</v>
      </c>
      <c r="Q47" s="7"/>
      <c r="R47" s="7"/>
      <c r="S47" s="7">
        <f t="shared" ref="S47:S48" si="36">SUM(Q47:R47)</f>
        <v>0</v>
      </c>
      <c r="T47" s="7">
        <f t="shared" si="21"/>
        <v>0</v>
      </c>
      <c r="U47" s="7">
        <f t="shared" si="14"/>
        <v>1500000</v>
      </c>
      <c r="V47" s="7">
        <v>1500000</v>
      </c>
      <c r="W47" s="7">
        <f t="shared" si="23"/>
        <v>0</v>
      </c>
      <c r="X47" s="7"/>
      <c r="Y47" s="7"/>
      <c r="Z47" s="71"/>
      <c r="AA47" s="6"/>
      <c r="AB47" s="6">
        <v>747000</v>
      </c>
    </row>
    <row r="48" spans="1:28" s="8" customFormat="1" x14ac:dyDescent="0.25">
      <c r="A48" s="6">
        <f t="shared" si="24"/>
        <v>20</v>
      </c>
      <c r="B48" s="6">
        <v>1865</v>
      </c>
      <c r="C48" s="6" t="s">
        <v>526</v>
      </c>
      <c r="D48" s="7">
        <v>600000</v>
      </c>
      <c r="E48" s="7">
        <v>0</v>
      </c>
      <c r="F48" s="7">
        <f t="shared" si="15"/>
        <v>600000</v>
      </c>
      <c r="G48" s="7"/>
      <c r="H48" s="7"/>
      <c r="I48" s="7"/>
      <c r="J48" s="7"/>
      <c r="K48" s="7"/>
      <c r="L48" s="7"/>
      <c r="M48" s="7"/>
      <c r="N48" s="7">
        <v>600000</v>
      </c>
      <c r="O48" s="7">
        <f t="shared" si="18"/>
        <v>0</v>
      </c>
      <c r="P48" s="7">
        <f t="shared" si="19"/>
        <v>0</v>
      </c>
      <c r="Q48" s="7"/>
      <c r="R48" s="7"/>
      <c r="S48" s="7">
        <f t="shared" si="36"/>
        <v>0</v>
      </c>
      <c r="T48" s="7">
        <f t="shared" si="21"/>
        <v>0</v>
      </c>
      <c r="U48" s="7">
        <f t="shared" si="14"/>
        <v>600000</v>
      </c>
      <c r="V48" s="7"/>
      <c r="W48" s="7">
        <f t="shared" si="23"/>
        <v>600000</v>
      </c>
      <c r="X48" s="7"/>
      <c r="Y48" s="7"/>
      <c r="Z48" s="71"/>
      <c r="AA48" s="6" t="s">
        <v>527</v>
      </c>
      <c r="AB48" s="6">
        <v>747000</v>
      </c>
    </row>
    <row r="49" spans="1:28" s="13" customFormat="1" ht="15.6" x14ac:dyDescent="0.25">
      <c r="A49" s="11">
        <f>A48</f>
        <v>20</v>
      </c>
      <c r="B49" s="11" t="s">
        <v>112</v>
      </c>
      <c r="C49" s="11" t="s">
        <v>195</v>
      </c>
      <c r="D49" s="12">
        <f>SUM(D29:D48)</f>
        <v>13612529</v>
      </c>
      <c r="E49" s="12">
        <f t="shared" ref="E49:Y49" si="37">SUM(E29:E48)</f>
        <v>8402529</v>
      </c>
      <c r="F49" s="12">
        <f t="shared" si="37"/>
        <v>5210000</v>
      </c>
      <c r="G49" s="12">
        <f t="shared" si="37"/>
        <v>7332529</v>
      </c>
      <c r="H49" s="12">
        <f t="shared" si="37"/>
        <v>6055677.5</v>
      </c>
      <c r="I49" s="12">
        <f t="shared" si="37"/>
        <v>503182.22000000003</v>
      </c>
      <c r="J49" s="12">
        <f t="shared" si="37"/>
        <v>424744.82</v>
      </c>
      <c r="K49" s="12">
        <f t="shared" si="37"/>
        <v>927927.04</v>
      </c>
      <c r="L49" s="12">
        <f t="shared" si="37"/>
        <v>6983604.54</v>
      </c>
      <c r="M49" s="12">
        <f t="shared" si="37"/>
        <v>348924.46000000008</v>
      </c>
      <c r="N49" s="12">
        <f t="shared" si="37"/>
        <v>3470000</v>
      </c>
      <c r="O49" s="12">
        <f t="shared" si="37"/>
        <v>2810000</v>
      </c>
      <c r="P49" s="12">
        <f t="shared" si="37"/>
        <v>348924.46000000008</v>
      </c>
      <c r="Q49" s="12">
        <f t="shared" si="37"/>
        <v>0</v>
      </c>
      <c r="R49" s="12">
        <f t="shared" si="37"/>
        <v>0</v>
      </c>
      <c r="S49" s="12">
        <f t="shared" si="37"/>
        <v>0</v>
      </c>
      <c r="T49" s="12">
        <f t="shared" si="37"/>
        <v>0</v>
      </c>
      <c r="U49" s="12">
        <f t="shared" si="37"/>
        <v>3470000</v>
      </c>
      <c r="V49" s="12">
        <f t="shared" si="37"/>
        <v>1500000</v>
      </c>
      <c r="W49" s="12">
        <f t="shared" si="37"/>
        <v>1900000</v>
      </c>
      <c r="X49" s="12">
        <f t="shared" si="37"/>
        <v>0</v>
      </c>
      <c r="Y49" s="12">
        <f t="shared" si="37"/>
        <v>70000</v>
      </c>
      <c r="Z49" s="82">
        <f>SUM(Z29:Z30)</f>
        <v>0</v>
      </c>
      <c r="AA49" s="11"/>
      <c r="AB49" s="11"/>
    </row>
    <row r="50" spans="1:28" s="8" customFormat="1" x14ac:dyDescent="0.25">
      <c r="A50" s="6"/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>
        <f>D50-L50-M50-N50</f>
        <v>0</v>
      </c>
      <c r="P50" s="7"/>
      <c r="Q50" s="7"/>
      <c r="R50" s="7"/>
      <c r="S50" s="7"/>
      <c r="T50" s="7"/>
      <c r="U50" s="7">
        <f t="shared" si="14"/>
        <v>0</v>
      </c>
      <c r="V50" s="7"/>
      <c r="W50" s="7"/>
      <c r="X50" s="7"/>
      <c r="Y50" s="6"/>
      <c r="Z50" s="71"/>
      <c r="AA50" s="6"/>
      <c r="AB50" s="6"/>
    </row>
    <row r="51" spans="1:28" s="8" customFormat="1" ht="15.6" x14ac:dyDescent="0.25">
      <c r="A51" s="6"/>
      <c r="B51" s="6"/>
      <c r="C51" s="11" t="s">
        <v>289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f>D51-L51-M51-N51</f>
        <v>0</v>
      </c>
      <c r="P51" s="7"/>
      <c r="Q51" s="7"/>
      <c r="R51" s="7"/>
      <c r="S51" s="7"/>
      <c r="T51" s="7">
        <f t="shared" ref="T51:T61" si="38">P51-M51+R51</f>
        <v>0</v>
      </c>
      <c r="U51" s="7">
        <f t="shared" si="14"/>
        <v>0</v>
      </c>
      <c r="V51" s="7"/>
      <c r="W51" s="7"/>
      <c r="X51" s="7"/>
      <c r="Y51" s="6"/>
      <c r="Z51" s="71"/>
      <c r="AA51" s="6"/>
      <c r="AB51" s="6"/>
    </row>
    <row r="52" spans="1:28" s="8" customFormat="1" x14ac:dyDescent="0.25">
      <c r="A52" s="6">
        <v>1</v>
      </c>
      <c r="B52" s="6">
        <v>135</v>
      </c>
      <c r="C52" s="6" t="s">
        <v>204</v>
      </c>
      <c r="D52" s="7">
        <f>5082000-500000</f>
        <v>4582000</v>
      </c>
      <c r="E52" s="7">
        <v>4582000</v>
      </c>
      <c r="F52" s="7">
        <f>D52-E52</f>
        <v>0</v>
      </c>
      <c r="G52" s="7">
        <v>4582000</v>
      </c>
      <c r="H52" s="7">
        <v>1017281.23</v>
      </c>
      <c r="I52" s="7"/>
      <c r="J52" s="7"/>
      <c r="K52" s="7">
        <f t="shared" ref="K52:K59" si="39">SUM(I52:J52)</f>
        <v>0</v>
      </c>
      <c r="L52" s="7">
        <f t="shared" ref="L52:L59" si="40">H52+K52</f>
        <v>1017281.23</v>
      </c>
      <c r="M52" s="7">
        <f>P52+S52</f>
        <v>3564718.77</v>
      </c>
      <c r="N52" s="7"/>
      <c r="O52" s="7">
        <f t="shared" ref="O52:O59" si="41">D52-L52-M52-N52</f>
        <v>0</v>
      </c>
      <c r="P52" s="7">
        <f t="shared" ref="P52:P59" si="42">G52-L52</f>
        <v>3564718.77</v>
      </c>
      <c r="Q52" s="7"/>
      <c r="R52" s="7"/>
      <c r="S52" s="7">
        <f t="shared" ref="S52:S59" si="43">SUM(Q52:R52)</f>
        <v>0</v>
      </c>
      <c r="T52" s="7">
        <f t="shared" ref="T52:T59" si="44">P52-M52+S52</f>
        <v>0</v>
      </c>
      <c r="U52" s="7">
        <f t="shared" si="14"/>
        <v>0</v>
      </c>
      <c r="V52" s="7"/>
      <c r="W52" s="7">
        <f t="shared" ref="W52:W59" si="45">U52-V52-X52-Y52</f>
        <v>0</v>
      </c>
      <c r="X52" s="7"/>
      <c r="Y52" s="6"/>
      <c r="Z52" s="72"/>
      <c r="AA52" s="6" t="s">
        <v>528</v>
      </c>
      <c r="AB52" s="6">
        <v>747000</v>
      </c>
    </row>
    <row r="53" spans="1:28" s="8" customFormat="1" x14ac:dyDescent="0.25">
      <c r="A53" s="6">
        <f>A52+1</f>
        <v>2</v>
      </c>
      <c r="B53" s="6">
        <v>1134</v>
      </c>
      <c r="C53" s="6" t="s">
        <v>205</v>
      </c>
      <c r="D53" s="7">
        <v>2535000</v>
      </c>
      <c r="E53" s="7">
        <v>2535000</v>
      </c>
      <c r="F53" s="7">
        <f t="shared" ref="F53:F59" si="46">D53-E53</f>
        <v>0</v>
      </c>
      <c r="G53" s="7">
        <v>2250000</v>
      </c>
      <c r="H53" s="7">
        <v>2158365.27</v>
      </c>
      <c r="I53" s="7">
        <v>36046</v>
      </c>
      <c r="J53" s="7"/>
      <c r="K53" s="7">
        <f t="shared" si="39"/>
        <v>36046</v>
      </c>
      <c r="L53" s="7">
        <f t="shared" si="40"/>
        <v>2194411.27</v>
      </c>
      <c r="M53" s="7">
        <f t="shared" ref="M53:M59" si="47">P53+S53</f>
        <v>55588.729999999981</v>
      </c>
      <c r="N53" s="7">
        <v>45000</v>
      </c>
      <c r="O53" s="7">
        <f t="shared" si="41"/>
        <v>240000</v>
      </c>
      <c r="P53" s="7">
        <f t="shared" si="42"/>
        <v>55588.729999999981</v>
      </c>
      <c r="Q53" s="7"/>
      <c r="R53" s="7"/>
      <c r="S53" s="7">
        <f t="shared" si="43"/>
        <v>0</v>
      </c>
      <c r="T53" s="7">
        <f t="shared" si="44"/>
        <v>0</v>
      </c>
      <c r="U53" s="7">
        <f>N53-T53</f>
        <v>45000</v>
      </c>
      <c r="V53" s="7"/>
      <c r="W53" s="7">
        <f t="shared" si="45"/>
        <v>45000</v>
      </c>
      <c r="X53" s="7"/>
      <c r="Y53" s="6"/>
      <c r="Z53" s="71"/>
      <c r="AA53" s="6" t="s">
        <v>528</v>
      </c>
      <c r="AB53" s="6">
        <v>746000</v>
      </c>
    </row>
    <row r="54" spans="1:28" s="8" customFormat="1" x14ac:dyDescent="0.25">
      <c r="A54" s="6">
        <f t="shared" ref="A54:A58" si="48">A53+1</f>
        <v>3</v>
      </c>
      <c r="B54" s="6">
        <v>1345</v>
      </c>
      <c r="C54" s="6" t="s">
        <v>206</v>
      </c>
      <c r="D54" s="7">
        <v>1739000</v>
      </c>
      <c r="E54" s="7">
        <v>1739000</v>
      </c>
      <c r="F54" s="7">
        <f t="shared" si="46"/>
        <v>0</v>
      </c>
      <c r="G54" s="7">
        <v>715000</v>
      </c>
      <c r="H54" s="7">
        <v>597821.81000000006</v>
      </c>
      <c r="I54" s="7">
        <v>26904</v>
      </c>
      <c r="J54" s="7">
        <v>4820.3</v>
      </c>
      <c r="K54" s="7">
        <f t="shared" si="39"/>
        <v>31724.3</v>
      </c>
      <c r="L54" s="7">
        <f t="shared" si="40"/>
        <v>629546.1100000001</v>
      </c>
      <c r="M54" s="7">
        <f t="shared" si="47"/>
        <v>85453.889999999898</v>
      </c>
      <c r="N54" s="7">
        <v>50000</v>
      </c>
      <c r="O54" s="7">
        <f t="shared" si="41"/>
        <v>974000</v>
      </c>
      <c r="P54" s="7">
        <f t="shared" si="42"/>
        <v>85453.889999999898</v>
      </c>
      <c r="Q54" s="7"/>
      <c r="R54" s="7"/>
      <c r="S54" s="7">
        <f t="shared" si="43"/>
        <v>0</v>
      </c>
      <c r="T54" s="7">
        <f t="shared" si="44"/>
        <v>0</v>
      </c>
      <c r="U54" s="7">
        <f t="shared" si="14"/>
        <v>50000</v>
      </c>
      <c r="V54" s="7"/>
      <c r="W54" s="7">
        <f t="shared" si="45"/>
        <v>50000</v>
      </c>
      <c r="X54" s="7"/>
      <c r="Y54" s="6"/>
      <c r="Z54" s="71"/>
      <c r="AA54" s="6" t="s">
        <v>528</v>
      </c>
      <c r="AB54" s="6">
        <v>870000</v>
      </c>
    </row>
    <row r="55" spans="1:28" s="8" customFormat="1" x14ac:dyDescent="0.25">
      <c r="A55" s="6">
        <f t="shared" si="48"/>
        <v>4</v>
      </c>
      <c r="B55" s="6">
        <v>1566</v>
      </c>
      <c r="C55" s="6" t="s">
        <v>207</v>
      </c>
      <c r="D55" s="7">
        <v>1200000</v>
      </c>
      <c r="E55" s="7">
        <v>1200000</v>
      </c>
      <c r="F55" s="7">
        <f t="shared" si="46"/>
        <v>0</v>
      </c>
      <c r="G55" s="7">
        <v>700000</v>
      </c>
      <c r="H55" s="7">
        <v>634492.76</v>
      </c>
      <c r="I55" s="7">
        <v>5103.1499999999996</v>
      </c>
      <c r="J55" s="7"/>
      <c r="K55" s="7">
        <f t="shared" si="39"/>
        <v>5103.1499999999996</v>
      </c>
      <c r="L55" s="7">
        <f t="shared" si="40"/>
        <v>639595.91</v>
      </c>
      <c r="M55" s="7">
        <f t="shared" si="47"/>
        <v>60404.089999999967</v>
      </c>
      <c r="N55" s="7"/>
      <c r="O55" s="7">
        <f t="shared" si="41"/>
        <v>500000</v>
      </c>
      <c r="P55" s="7">
        <f t="shared" si="42"/>
        <v>60404.089999999967</v>
      </c>
      <c r="Q55" s="7"/>
      <c r="R55" s="7"/>
      <c r="S55" s="7">
        <f t="shared" si="43"/>
        <v>0</v>
      </c>
      <c r="T55" s="7">
        <f t="shared" si="44"/>
        <v>0</v>
      </c>
      <c r="U55" s="7">
        <f t="shared" si="14"/>
        <v>0</v>
      </c>
      <c r="V55" s="7"/>
      <c r="W55" s="7">
        <f t="shared" si="45"/>
        <v>0</v>
      </c>
      <c r="X55" s="7"/>
      <c r="Y55" s="6"/>
      <c r="Z55" s="71"/>
      <c r="AA55" s="6" t="s">
        <v>528</v>
      </c>
      <c r="AB55" s="6">
        <v>870000</v>
      </c>
    </row>
    <row r="56" spans="1:28" s="8" customFormat="1" x14ac:dyDescent="0.25">
      <c r="A56" s="6">
        <f t="shared" si="48"/>
        <v>5</v>
      </c>
      <c r="B56" s="6">
        <v>1579</v>
      </c>
      <c r="C56" s="6" t="s">
        <v>208</v>
      </c>
      <c r="D56" s="7">
        <v>280000</v>
      </c>
      <c r="E56" s="7">
        <v>280000</v>
      </c>
      <c r="F56" s="7">
        <f t="shared" si="46"/>
        <v>0</v>
      </c>
      <c r="G56" s="7">
        <v>170000</v>
      </c>
      <c r="H56" s="7">
        <v>103141.65</v>
      </c>
      <c r="I56" s="7">
        <v>25517.08</v>
      </c>
      <c r="J56" s="7"/>
      <c r="K56" s="7">
        <f t="shared" si="39"/>
        <v>25517.08</v>
      </c>
      <c r="L56" s="7">
        <f t="shared" si="40"/>
        <v>128658.73</v>
      </c>
      <c r="M56" s="7">
        <f t="shared" si="47"/>
        <v>41341.270000000004</v>
      </c>
      <c r="N56" s="7">
        <v>0</v>
      </c>
      <c r="O56" s="7">
        <f t="shared" si="41"/>
        <v>110000.00000000001</v>
      </c>
      <c r="P56" s="7">
        <f t="shared" si="42"/>
        <v>41341.270000000004</v>
      </c>
      <c r="Q56" s="7"/>
      <c r="R56" s="7"/>
      <c r="S56" s="7">
        <f t="shared" si="43"/>
        <v>0</v>
      </c>
      <c r="T56" s="7">
        <f t="shared" si="44"/>
        <v>0</v>
      </c>
      <c r="U56" s="7">
        <f t="shared" si="14"/>
        <v>0</v>
      </c>
      <c r="V56" s="7"/>
      <c r="W56" s="7">
        <f t="shared" si="45"/>
        <v>0</v>
      </c>
      <c r="X56" s="7"/>
      <c r="Y56" s="6"/>
      <c r="Z56" s="71"/>
      <c r="AA56" s="6" t="s">
        <v>528</v>
      </c>
      <c r="AB56" s="6">
        <v>870000</v>
      </c>
    </row>
    <row r="57" spans="1:28" s="8" customFormat="1" x14ac:dyDescent="0.25">
      <c r="A57" s="6">
        <f t="shared" si="48"/>
        <v>6</v>
      </c>
      <c r="B57" s="6">
        <v>1598</v>
      </c>
      <c r="C57" s="6" t="s">
        <v>209</v>
      </c>
      <c r="D57" s="7">
        <f>222000+50000</f>
        <v>272000</v>
      </c>
      <c r="E57" s="7">
        <v>222000</v>
      </c>
      <c r="F57" s="7">
        <f t="shared" si="46"/>
        <v>50000</v>
      </c>
      <c r="G57" s="7">
        <v>122000</v>
      </c>
      <c r="H57" s="7">
        <v>46738</v>
      </c>
      <c r="I57" s="7">
        <v>41787.019999999997</v>
      </c>
      <c r="J57" s="7"/>
      <c r="K57" s="7">
        <f t="shared" si="39"/>
        <v>41787.019999999997</v>
      </c>
      <c r="L57" s="7">
        <f t="shared" si="40"/>
        <v>88525.01999999999</v>
      </c>
      <c r="M57" s="7">
        <f t="shared" si="47"/>
        <v>133474.98000000001</v>
      </c>
      <c r="N57" s="7">
        <f>100000-50000</f>
        <v>50000</v>
      </c>
      <c r="O57" s="7">
        <f t="shared" si="41"/>
        <v>0</v>
      </c>
      <c r="P57" s="7">
        <f t="shared" si="42"/>
        <v>33474.98000000001</v>
      </c>
      <c r="Q57" s="7">
        <v>100000</v>
      </c>
      <c r="R57" s="7"/>
      <c r="S57" s="7">
        <f t="shared" si="43"/>
        <v>100000</v>
      </c>
      <c r="T57" s="7">
        <f t="shared" si="44"/>
        <v>0</v>
      </c>
      <c r="U57" s="7">
        <f t="shared" si="14"/>
        <v>50000</v>
      </c>
      <c r="V57" s="7"/>
      <c r="W57" s="7">
        <f t="shared" si="45"/>
        <v>50000</v>
      </c>
      <c r="X57" s="7"/>
      <c r="Y57" s="7"/>
      <c r="Z57" s="71"/>
      <c r="AA57" s="6" t="s">
        <v>528</v>
      </c>
      <c r="AB57" s="6">
        <v>870000</v>
      </c>
    </row>
    <row r="58" spans="1:28" s="8" customFormat="1" x14ac:dyDescent="0.25">
      <c r="A58" s="6">
        <f t="shared" si="48"/>
        <v>7</v>
      </c>
      <c r="B58" s="6">
        <v>1685</v>
      </c>
      <c r="C58" s="6" t="s">
        <v>529</v>
      </c>
      <c r="D58" s="7">
        <v>180000</v>
      </c>
      <c r="E58" s="7">
        <v>180000</v>
      </c>
      <c r="F58" s="7">
        <f t="shared" si="46"/>
        <v>0</v>
      </c>
      <c r="G58" s="7">
        <v>80000</v>
      </c>
      <c r="H58" s="7">
        <v>0</v>
      </c>
      <c r="I58" s="7"/>
      <c r="J58" s="7"/>
      <c r="K58" s="7">
        <f t="shared" si="39"/>
        <v>0</v>
      </c>
      <c r="L58" s="7">
        <f t="shared" si="40"/>
        <v>0</v>
      </c>
      <c r="M58" s="7">
        <f t="shared" si="47"/>
        <v>180000</v>
      </c>
      <c r="N58" s="7"/>
      <c r="O58" s="7">
        <f t="shared" si="41"/>
        <v>0</v>
      </c>
      <c r="P58" s="7">
        <f t="shared" si="42"/>
        <v>80000</v>
      </c>
      <c r="Q58" s="7">
        <v>100000</v>
      </c>
      <c r="R58" s="7"/>
      <c r="S58" s="7">
        <f t="shared" si="43"/>
        <v>100000</v>
      </c>
      <c r="T58" s="7">
        <f t="shared" si="44"/>
        <v>0</v>
      </c>
      <c r="U58" s="7">
        <f t="shared" si="14"/>
        <v>0</v>
      </c>
      <c r="V58" s="7"/>
      <c r="W58" s="7">
        <f t="shared" si="45"/>
        <v>0</v>
      </c>
      <c r="X58" s="7"/>
      <c r="Y58" s="7"/>
      <c r="Z58" s="71"/>
      <c r="AA58" s="6"/>
      <c r="AB58" s="6">
        <v>870000</v>
      </c>
    </row>
    <row r="59" spans="1:28" s="8" customFormat="1" x14ac:dyDescent="0.25">
      <c r="A59" s="6">
        <v>8</v>
      </c>
      <c r="B59" s="6">
        <v>1866</v>
      </c>
      <c r="C59" s="6" t="s">
        <v>530</v>
      </c>
      <c r="D59" s="7">
        <v>300000</v>
      </c>
      <c r="E59" s="7">
        <v>0</v>
      </c>
      <c r="F59" s="7">
        <f t="shared" si="46"/>
        <v>300000</v>
      </c>
      <c r="G59" s="7">
        <v>0</v>
      </c>
      <c r="H59" s="7">
        <v>0</v>
      </c>
      <c r="I59" s="7">
        <v>0</v>
      </c>
      <c r="J59" s="7">
        <v>0</v>
      </c>
      <c r="K59" s="7">
        <f t="shared" si="39"/>
        <v>0</v>
      </c>
      <c r="L59" s="7">
        <f t="shared" si="40"/>
        <v>0</v>
      </c>
      <c r="M59" s="7">
        <f t="shared" si="47"/>
        <v>0</v>
      </c>
      <c r="N59" s="7">
        <v>50000</v>
      </c>
      <c r="O59" s="7">
        <f t="shared" si="41"/>
        <v>250000</v>
      </c>
      <c r="P59" s="7">
        <f t="shared" si="42"/>
        <v>0</v>
      </c>
      <c r="Q59" s="7"/>
      <c r="R59" s="7"/>
      <c r="S59" s="7">
        <f t="shared" si="43"/>
        <v>0</v>
      </c>
      <c r="T59" s="7">
        <f t="shared" si="44"/>
        <v>0</v>
      </c>
      <c r="U59" s="7">
        <f t="shared" si="14"/>
        <v>50000</v>
      </c>
      <c r="V59" s="7"/>
      <c r="W59" s="7">
        <f t="shared" si="45"/>
        <v>50000</v>
      </c>
      <c r="X59" s="7"/>
      <c r="Y59" s="7"/>
      <c r="Z59" s="71"/>
      <c r="AA59" s="6" t="s">
        <v>531</v>
      </c>
      <c r="AB59" s="6">
        <v>870000</v>
      </c>
    </row>
    <row r="60" spans="1:28" s="13" customFormat="1" ht="15.6" x14ac:dyDescent="0.25">
      <c r="A60" s="11">
        <v>8</v>
      </c>
      <c r="B60" s="11" t="s">
        <v>112</v>
      </c>
      <c r="C60" s="11" t="s">
        <v>210</v>
      </c>
      <c r="D60" s="12">
        <f t="shared" ref="D60:W60" si="49">SUM(D52:D59)</f>
        <v>11088000</v>
      </c>
      <c r="E60" s="12">
        <f t="shared" si="49"/>
        <v>10738000</v>
      </c>
      <c r="F60" s="12">
        <f t="shared" si="49"/>
        <v>350000</v>
      </c>
      <c r="G60" s="12">
        <f t="shared" si="49"/>
        <v>8619000</v>
      </c>
      <c r="H60" s="12">
        <f t="shared" si="49"/>
        <v>4557840.7200000007</v>
      </c>
      <c r="I60" s="12">
        <f t="shared" si="49"/>
        <v>135357.25</v>
      </c>
      <c r="J60" s="12">
        <f t="shared" si="49"/>
        <v>4820.3</v>
      </c>
      <c r="K60" s="12">
        <f t="shared" si="49"/>
        <v>140177.54999999999</v>
      </c>
      <c r="L60" s="12">
        <f t="shared" si="49"/>
        <v>4698018.2700000005</v>
      </c>
      <c r="M60" s="12">
        <f t="shared" si="49"/>
        <v>4120981.7299999995</v>
      </c>
      <c r="N60" s="12">
        <f t="shared" si="49"/>
        <v>195000</v>
      </c>
      <c r="O60" s="12">
        <f t="shared" si="49"/>
        <v>2074000</v>
      </c>
      <c r="P60" s="12">
        <f t="shared" si="49"/>
        <v>3920981.7299999995</v>
      </c>
      <c r="Q60" s="12">
        <f t="shared" si="49"/>
        <v>200000</v>
      </c>
      <c r="R60" s="12">
        <f t="shared" si="49"/>
        <v>0</v>
      </c>
      <c r="S60" s="12">
        <f t="shared" si="49"/>
        <v>200000</v>
      </c>
      <c r="T60" s="12">
        <f t="shared" si="49"/>
        <v>0</v>
      </c>
      <c r="U60" s="12">
        <f t="shared" si="49"/>
        <v>195000</v>
      </c>
      <c r="V60" s="12">
        <f t="shared" si="49"/>
        <v>0</v>
      </c>
      <c r="W60" s="12">
        <f t="shared" si="49"/>
        <v>195000</v>
      </c>
      <c r="X60" s="12">
        <f t="shared" ref="X60:Y60" si="50">SUM(X52:X58)</f>
        <v>0</v>
      </c>
      <c r="Y60" s="12">
        <f t="shared" si="50"/>
        <v>0</v>
      </c>
      <c r="Z60" s="75"/>
      <c r="AA60" s="11"/>
      <c r="AB60" s="11"/>
    </row>
    <row r="61" spans="1:28" s="8" customFormat="1" x14ac:dyDescent="0.25">
      <c r="A61" s="6"/>
      <c r="B61" s="6"/>
      <c r="C61" s="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f t="shared" ref="O61" si="51">D61-L61-M61-N61</f>
        <v>0</v>
      </c>
      <c r="P61" s="7"/>
      <c r="Q61" s="7"/>
      <c r="R61" s="7"/>
      <c r="S61" s="7"/>
      <c r="T61" s="7">
        <f t="shared" si="38"/>
        <v>0</v>
      </c>
      <c r="U61" s="7">
        <f t="shared" si="14"/>
        <v>0</v>
      </c>
      <c r="V61" s="7"/>
      <c r="W61" s="7"/>
      <c r="X61" s="7"/>
      <c r="Y61" s="6"/>
      <c r="Z61" s="71"/>
      <c r="AA61" s="6"/>
      <c r="AB61" s="6"/>
    </row>
    <row r="62" spans="1:28" s="17" customFormat="1" ht="16.5" hidden="1" customHeight="1" x14ac:dyDescent="0.25">
      <c r="C62" s="17" t="s">
        <v>314</v>
      </c>
      <c r="D62" s="18">
        <f>D60+D49+D26</f>
        <v>121012529</v>
      </c>
      <c r="E62" s="18">
        <f t="shared" ref="E62:Y62" si="52">E60+E49+E26</f>
        <v>107802529</v>
      </c>
      <c r="F62" s="18">
        <f t="shared" si="52"/>
        <v>13210000</v>
      </c>
      <c r="G62" s="18">
        <f t="shared" si="52"/>
        <v>82381529</v>
      </c>
      <c r="H62" s="18">
        <f t="shared" si="52"/>
        <v>70286131.370000005</v>
      </c>
      <c r="I62" s="18">
        <f t="shared" si="52"/>
        <v>3831178.49</v>
      </c>
      <c r="J62" s="18">
        <f t="shared" si="52"/>
        <v>1043032.45</v>
      </c>
      <c r="K62" s="18">
        <f t="shared" si="52"/>
        <v>4874210.9400000004</v>
      </c>
      <c r="L62" s="18">
        <f t="shared" si="52"/>
        <v>75160342.310000002</v>
      </c>
      <c r="M62" s="18">
        <f t="shared" si="52"/>
        <v>10221186.689999998</v>
      </c>
      <c r="N62" s="18">
        <f t="shared" si="52"/>
        <v>14130000</v>
      </c>
      <c r="O62" s="18">
        <f t="shared" si="52"/>
        <v>21501000</v>
      </c>
      <c r="P62" s="18">
        <f t="shared" si="52"/>
        <v>7221186.6899999976</v>
      </c>
      <c r="Q62" s="18">
        <f t="shared" si="52"/>
        <v>2450000</v>
      </c>
      <c r="R62" s="18">
        <f t="shared" si="52"/>
        <v>550000</v>
      </c>
      <c r="S62" s="18">
        <f t="shared" si="52"/>
        <v>3000000</v>
      </c>
      <c r="T62" s="18">
        <f t="shared" si="52"/>
        <v>0</v>
      </c>
      <c r="U62" s="18">
        <f t="shared" si="52"/>
        <v>14130000</v>
      </c>
      <c r="V62" s="18">
        <f t="shared" si="52"/>
        <v>8715000</v>
      </c>
      <c r="W62" s="18">
        <f t="shared" si="52"/>
        <v>5345000</v>
      </c>
      <c r="X62" s="18">
        <f t="shared" si="52"/>
        <v>0</v>
      </c>
      <c r="Y62" s="18">
        <f t="shared" si="52"/>
        <v>70000</v>
      </c>
      <c r="Z62" s="20"/>
    </row>
    <row r="64" spans="1:28" x14ac:dyDescent="0.25">
      <c r="U64" s="68"/>
      <c r="V64" s="185"/>
      <c r="W64" s="185"/>
      <c r="X64" s="185"/>
      <c r="Y64" s="185"/>
    </row>
    <row r="66" spans="17:25" x14ac:dyDescent="0.25">
      <c r="U66" s="68"/>
      <c r="W66" s="185"/>
      <c r="Y66" s="185"/>
    </row>
    <row r="70" spans="17:25" x14ac:dyDescent="0.25">
      <c r="Q70" s="19">
        <f>Q68+Q66</f>
        <v>0</v>
      </c>
    </row>
  </sheetData>
  <sheetProtection algorithmName="SHA-512" hashValue="tmRNqUfyX76qbyQc9i5zWAdFgl8TmmORdJFqQ0mVghQPJ9cpU6Ev9Dfd0QDtHnL7yqbEbyF5e+0KuL/n+hlEEg==" saltValue="veYOm4RTjy7TujQyyaod8Q==" spinCount="100000" sheet="1" formatCells="0" formatColumns="0" formatRows="0" insertColumns="0" insertRows="0" insertHyperlinks="0" deleteColumns="0" deleteRows="0" sort="0" autoFilter="0" pivotTables="0"/>
  <mergeCells count="2">
    <mergeCell ref="A2:Y2"/>
    <mergeCell ref="A3:Y3"/>
  </mergeCells>
  <printOptions horizontalCentered="1"/>
  <pageMargins left="0" right="0" top="0.78740157480314965" bottom="0.59055118110236227" header="0.51181102362204722" footer="0.51181102362204722"/>
  <pageSetup paperSize="9" scale="80" orientation="landscape" r:id="rId1"/>
  <headerFooter alignWithMargins="0">
    <oddFooter>&amp;Cעמוד &amp;P מתוך &amp;N&amp;Rאגף ש.א.י.פ.ה/חופים/איכות הסביבה
עמוד 39 - 38</oddFooter>
  </headerFooter>
  <rowBreaks count="1" manualBreakCount="1">
    <brk id="30" max="2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0"/>
  <sheetViews>
    <sheetView showZeros="0" rightToLeft="1" zoomScaleNormal="100" workbookViewId="0">
      <pane xSplit="3" ySplit="5" topLeftCell="D35" activePane="bottomRight" state="frozen"/>
      <selection pane="topRight" activeCell="D1" sqref="D1"/>
      <selection pane="bottomLeft" activeCell="A6" sqref="A6"/>
      <selection pane="bottomRight" activeCell="C50" sqref="C50"/>
    </sheetView>
  </sheetViews>
  <sheetFormatPr defaultColWidth="9.109375" defaultRowHeight="13.8" x14ac:dyDescent="0.25"/>
  <cols>
    <col min="1" max="1" width="5.33203125" style="145" customWidth="1"/>
    <col min="2" max="2" width="6.6640625" style="144" customWidth="1"/>
    <col min="3" max="3" width="32.6640625" style="144" customWidth="1"/>
    <col min="4" max="5" width="12.6640625" style="173" bestFit="1" customWidth="1"/>
    <col min="6" max="6" width="10" style="173" customWidth="1"/>
    <col min="7" max="10" width="12.6640625" style="173" hidden="1" customWidth="1"/>
    <col min="11" max="11" width="11.33203125" style="173" hidden="1" customWidth="1"/>
    <col min="12" max="12" width="10.88671875" style="173" customWidth="1"/>
    <col min="13" max="13" width="9.88671875" style="173" customWidth="1"/>
    <col min="14" max="14" width="11.109375" style="173" bestFit="1" customWidth="1"/>
    <col min="15" max="15" width="10.88671875" style="173" customWidth="1"/>
    <col min="16" max="17" width="11.109375" style="173" hidden="1" customWidth="1"/>
    <col min="18" max="19" width="12" style="173" hidden="1" customWidth="1"/>
    <col min="20" max="20" width="10" style="173" hidden="1" customWidth="1"/>
    <col min="21" max="21" width="11.88671875" style="144" customWidth="1"/>
    <col min="22" max="22" width="9.88671875" style="144" customWidth="1"/>
    <col min="23" max="23" width="11.88671875" style="144" customWidth="1"/>
    <col min="24" max="24" width="5.109375" style="144" hidden="1" customWidth="1"/>
    <col min="25" max="25" width="10.33203125" style="144" customWidth="1"/>
    <col min="26" max="26" width="35.33203125" style="145" hidden="1" customWidth="1"/>
    <col min="27" max="27" width="26.44140625" style="144" hidden="1" customWidth="1"/>
    <col min="28" max="28" width="7.88671875" style="144" hidden="1" customWidth="1"/>
    <col min="29" max="30" width="9.109375" style="144" customWidth="1"/>
    <col min="31" max="16384" width="9.109375" style="144"/>
  </cols>
  <sheetData>
    <row r="2" spans="1:28" s="142" customFormat="1" ht="18" x14ac:dyDescent="0.35">
      <c r="A2" s="257" t="s">
        <v>370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141"/>
      <c r="Z2" s="143"/>
    </row>
    <row r="3" spans="1:28" ht="18" x14ac:dyDescent="0.35">
      <c r="A3" s="257" t="s">
        <v>335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</row>
    <row r="5" spans="1:28" s="148" customFormat="1" ht="86.25" customHeight="1" x14ac:dyDescent="0.25">
      <c r="A5" s="146" t="s">
        <v>0</v>
      </c>
      <c r="B5" s="146" t="s">
        <v>1</v>
      </c>
      <c r="C5" s="146" t="s">
        <v>2</v>
      </c>
      <c r="D5" s="146" t="s">
        <v>3</v>
      </c>
      <c r="E5" s="146" t="s">
        <v>4</v>
      </c>
      <c r="F5" s="146" t="s">
        <v>5</v>
      </c>
      <c r="G5" s="146" t="s">
        <v>6</v>
      </c>
      <c r="H5" s="146" t="s">
        <v>7</v>
      </c>
      <c r="I5" s="146" t="s">
        <v>8</v>
      </c>
      <c r="J5" s="146" t="s">
        <v>9</v>
      </c>
      <c r="K5" s="146" t="s">
        <v>10</v>
      </c>
      <c r="L5" s="146" t="s">
        <v>11</v>
      </c>
      <c r="M5" s="146" t="s">
        <v>359</v>
      </c>
      <c r="N5" s="146" t="s">
        <v>360</v>
      </c>
      <c r="O5" s="146" t="s">
        <v>361</v>
      </c>
      <c r="P5" s="146" t="s">
        <v>12</v>
      </c>
      <c r="Q5" s="146" t="s">
        <v>362</v>
      </c>
      <c r="R5" s="146" t="s">
        <v>363</v>
      </c>
      <c r="S5" s="146" t="s">
        <v>364</v>
      </c>
      <c r="T5" s="146" t="s">
        <v>365</v>
      </c>
      <c r="U5" s="146" t="s">
        <v>366</v>
      </c>
      <c r="V5" s="146" t="s">
        <v>13</v>
      </c>
      <c r="W5" s="146" t="s">
        <v>14</v>
      </c>
      <c r="X5" s="146" t="s">
        <v>15</v>
      </c>
      <c r="Y5" s="146" t="s">
        <v>285</v>
      </c>
      <c r="Z5" s="147" t="s">
        <v>16</v>
      </c>
      <c r="AA5" s="146" t="s">
        <v>17</v>
      </c>
      <c r="AB5" s="146" t="s">
        <v>18</v>
      </c>
    </row>
    <row r="6" spans="1:28" s="152" customFormat="1" x14ac:dyDescent="0.25">
      <c r="A6" s="149"/>
      <c r="B6" s="149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49"/>
      <c r="Z6" s="151"/>
      <c r="AA6" s="149"/>
      <c r="AB6" s="149"/>
    </row>
    <row r="7" spans="1:28" s="152" customFormat="1" ht="15.6" x14ac:dyDescent="0.25">
      <c r="A7" s="161"/>
      <c r="B7" s="161"/>
      <c r="C7" s="30" t="s">
        <v>508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>
        <f t="shared" ref="T7" si="0">P7-M7+R7</f>
        <v>0</v>
      </c>
      <c r="U7" s="162">
        <f t="shared" ref="U7:U24" si="1">N7-T7</f>
        <v>0</v>
      </c>
      <c r="V7" s="162"/>
      <c r="W7" s="162"/>
      <c r="X7" s="162"/>
      <c r="Y7" s="161"/>
      <c r="Z7" s="163"/>
      <c r="AA7" s="161"/>
      <c r="AB7" s="161"/>
    </row>
    <row r="8" spans="1:28" s="152" customFormat="1" x14ac:dyDescent="0.25">
      <c r="A8" s="161">
        <v>1</v>
      </c>
      <c r="B8" s="161">
        <v>1586</v>
      </c>
      <c r="C8" s="161" t="s">
        <v>164</v>
      </c>
      <c r="D8" s="162">
        <v>860000</v>
      </c>
      <c r="E8" s="162">
        <v>860000</v>
      </c>
      <c r="F8" s="162">
        <f t="shared" ref="F8:F24" si="2">D8-E8</f>
        <v>0</v>
      </c>
      <c r="G8" s="162">
        <v>860000</v>
      </c>
      <c r="H8" s="162">
        <v>859581.55</v>
      </c>
      <c r="I8" s="162"/>
      <c r="J8" s="162"/>
      <c r="K8" s="162">
        <f t="shared" ref="K8:K24" si="3">I8+J8</f>
        <v>0</v>
      </c>
      <c r="L8" s="162">
        <f t="shared" ref="L8:L24" si="4">H8+K8</f>
        <v>859581.55</v>
      </c>
      <c r="M8" s="162">
        <f t="shared" ref="M8:M12" si="5">P8+S8</f>
        <v>418.44999999995343</v>
      </c>
      <c r="N8" s="162"/>
      <c r="O8" s="162">
        <f t="shared" ref="O8:O12" si="6">D8-L8-M8-N8</f>
        <v>0</v>
      </c>
      <c r="P8" s="162">
        <f t="shared" ref="P8:P24" si="7">G8-L8</f>
        <v>418.44999999995343</v>
      </c>
      <c r="Q8" s="162"/>
      <c r="R8" s="162"/>
      <c r="S8" s="162">
        <f t="shared" ref="S8:S24" si="8">SUM(Q8:R8)</f>
        <v>0</v>
      </c>
      <c r="T8" s="162">
        <f t="shared" ref="T8:T24" si="9">P8-M8+S8</f>
        <v>0</v>
      </c>
      <c r="U8" s="162">
        <f t="shared" si="1"/>
        <v>0</v>
      </c>
      <c r="V8" s="162"/>
      <c r="W8" s="162">
        <f t="shared" ref="W8:W24" si="10">U8-V8-X8-Y8</f>
        <v>0</v>
      </c>
      <c r="X8" s="162"/>
      <c r="Y8" s="161"/>
      <c r="Z8" s="163"/>
      <c r="AA8" s="161"/>
      <c r="AB8" s="161">
        <v>812000</v>
      </c>
    </row>
    <row r="9" spans="1:28" s="152" customFormat="1" x14ac:dyDescent="0.25">
      <c r="A9" s="161">
        <f>1+A8</f>
        <v>2</v>
      </c>
      <c r="B9" s="161">
        <v>1626</v>
      </c>
      <c r="C9" s="161" t="s">
        <v>166</v>
      </c>
      <c r="D9" s="162">
        <v>874000</v>
      </c>
      <c r="E9" s="162">
        <v>874000</v>
      </c>
      <c r="F9" s="162">
        <f t="shared" si="2"/>
        <v>0</v>
      </c>
      <c r="G9" s="162">
        <v>874000</v>
      </c>
      <c r="H9" s="162">
        <v>636357.12</v>
      </c>
      <c r="I9" s="162"/>
      <c r="J9" s="162"/>
      <c r="K9" s="162">
        <f t="shared" si="3"/>
        <v>0</v>
      </c>
      <c r="L9" s="162">
        <f t="shared" si="4"/>
        <v>636357.12</v>
      </c>
      <c r="M9" s="162">
        <f t="shared" si="5"/>
        <v>237642.88</v>
      </c>
      <c r="N9" s="162"/>
      <c r="O9" s="162">
        <f t="shared" si="6"/>
        <v>0</v>
      </c>
      <c r="P9" s="162">
        <f t="shared" si="7"/>
        <v>237642.88</v>
      </c>
      <c r="Q9" s="162"/>
      <c r="R9" s="162"/>
      <c r="S9" s="162">
        <f t="shared" si="8"/>
        <v>0</v>
      </c>
      <c r="T9" s="162">
        <f t="shared" si="9"/>
        <v>0</v>
      </c>
      <c r="U9" s="162">
        <f t="shared" si="1"/>
        <v>0</v>
      </c>
      <c r="V9" s="162"/>
      <c r="W9" s="162">
        <f t="shared" si="10"/>
        <v>0</v>
      </c>
      <c r="X9" s="162"/>
      <c r="Y9" s="161"/>
      <c r="Z9" s="163"/>
      <c r="AA9" s="161"/>
      <c r="AB9" s="161">
        <v>810000</v>
      </c>
    </row>
    <row r="10" spans="1:28" s="152" customFormat="1" x14ac:dyDescent="0.25">
      <c r="A10" s="161">
        <f t="shared" ref="A10:A24" si="11">1+A9</f>
        <v>3</v>
      </c>
      <c r="B10" s="161">
        <v>1648</v>
      </c>
      <c r="C10" s="161" t="s">
        <v>168</v>
      </c>
      <c r="D10" s="162">
        <v>320000</v>
      </c>
      <c r="E10" s="162">
        <v>320000</v>
      </c>
      <c r="F10" s="162">
        <f t="shared" si="2"/>
        <v>0</v>
      </c>
      <c r="G10" s="162">
        <v>320000</v>
      </c>
      <c r="H10" s="162">
        <v>265514.67</v>
      </c>
      <c r="I10" s="162"/>
      <c r="J10" s="162"/>
      <c r="K10" s="162">
        <f t="shared" si="3"/>
        <v>0</v>
      </c>
      <c r="L10" s="162">
        <f t="shared" si="4"/>
        <v>265514.67</v>
      </c>
      <c r="M10" s="162">
        <f t="shared" si="5"/>
        <v>54485.330000000016</v>
      </c>
      <c r="N10" s="162"/>
      <c r="O10" s="162">
        <f t="shared" si="6"/>
        <v>0</v>
      </c>
      <c r="P10" s="162">
        <f t="shared" si="7"/>
        <v>54485.330000000016</v>
      </c>
      <c r="Q10" s="162"/>
      <c r="R10" s="162"/>
      <c r="S10" s="162">
        <f t="shared" si="8"/>
        <v>0</v>
      </c>
      <c r="T10" s="162">
        <f t="shared" si="9"/>
        <v>0</v>
      </c>
      <c r="U10" s="162">
        <f t="shared" si="1"/>
        <v>0</v>
      </c>
      <c r="V10" s="162"/>
      <c r="W10" s="162">
        <f t="shared" si="10"/>
        <v>0</v>
      </c>
      <c r="X10" s="162"/>
      <c r="Y10" s="161"/>
      <c r="Z10" s="163"/>
      <c r="AA10" s="161"/>
      <c r="AB10" s="161">
        <v>812000</v>
      </c>
    </row>
    <row r="11" spans="1:28" s="159" customFormat="1" x14ac:dyDescent="0.25">
      <c r="A11" s="156">
        <f t="shared" si="11"/>
        <v>4</v>
      </c>
      <c r="B11" s="156">
        <v>1664</v>
      </c>
      <c r="C11" s="156" t="s">
        <v>169</v>
      </c>
      <c r="D11" s="157">
        <v>650000</v>
      </c>
      <c r="E11" s="157">
        <v>650000</v>
      </c>
      <c r="F11" s="157">
        <f t="shared" si="2"/>
        <v>0</v>
      </c>
      <c r="G11" s="157">
        <v>650000</v>
      </c>
      <c r="H11" s="157">
        <v>540012.07999999996</v>
      </c>
      <c r="I11" s="157">
        <v>31692.44</v>
      </c>
      <c r="J11" s="157"/>
      <c r="K11" s="157">
        <f t="shared" si="3"/>
        <v>31692.44</v>
      </c>
      <c r="L11" s="157">
        <f t="shared" si="4"/>
        <v>571704.5199999999</v>
      </c>
      <c r="M11" s="157">
        <f t="shared" si="5"/>
        <v>78295.480000000098</v>
      </c>
      <c r="N11" s="157"/>
      <c r="O11" s="157">
        <f t="shared" si="6"/>
        <v>0</v>
      </c>
      <c r="P11" s="157">
        <f t="shared" si="7"/>
        <v>78295.480000000098</v>
      </c>
      <c r="Q11" s="157"/>
      <c r="R11" s="157"/>
      <c r="S11" s="157">
        <f t="shared" si="8"/>
        <v>0</v>
      </c>
      <c r="T11" s="157">
        <f t="shared" si="9"/>
        <v>0</v>
      </c>
      <c r="U11" s="157">
        <f t="shared" si="1"/>
        <v>0</v>
      </c>
      <c r="V11" s="157"/>
      <c r="W11" s="157">
        <f t="shared" si="10"/>
        <v>0</v>
      </c>
      <c r="X11" s="157"/>
      <c r="Y11" s="156"/>
      <c r="Z11" s="160"/>
      <c r="AA11" s="156"/>
      <c r="AB11" s="156">
        <v>844000</v>
      </c>
    </row>
    <row r="12" spans="1:28" s="152" customFormat="1" x14ac:dyDescent="0.25">
      <c r="A12" s="156">
        <f t="shared" si="11"/>
        <v>5</v>
      </c>
      <c r="B12" s="161">
        <v>1679</v>
      </c>
      <c r="C12" s="161" t="s">
        <v>170</v>
      </c>
      <c r="D12" s="162">
        <v>130000</v>
      </c>
      <c r="E12" s="162">
        <v>130000</v>
      </c>
      <c r="F12" s="162">
        <f t="shared" si="2"/>
        <v>0</v>
      </c>
      <c r="G12" s="162">
        <v>130000</v>
      </c>
      <c r="H12" s="162">
        <v>73014.490000000005</v>
      </c>
      <c r="I12" s="162"/>
      <c r="J12" s="162"/>
      <c r="K12" s="162">
        <f t="shared" si="3"/>
        <v>0</v>
      </c>
      <c r="L12" s="162">
        <f t="shared" si="4"/>
        <v>73014.490000000005</v>
      </c>
      <c r="M12" s="162">
        <f t="shared" si="5"/>
        <v>56985.509999999995</v>
      </c>
      <c r="N12" s="162"/>
      <c r="O12" s="162">
        <f t="shared" si="6"/>
        <v>0</v>
      </c>
      <c r="P12" s="162">
        <f t="shared" si="7"/>
        <v>56985.509999999995</v>
      </c>
      <c r="Q12" s="162"/>
      <c r="R12" s="162"/>
      <c r="S12" s="162">
        <f t="shared" si="8"/>
        <v>0</v>
      </c>
      <c r="T12" s="162">
        <f t="shared" si="9"/>
        <v>0</v>
      </c>
      <c r="U12" s="162">
        <f t="shared" si="1"/>
        <v>0</v>
      </c>
      <c r="V12" s="162"/>
      <c r="W12" s="162">
        <f t="shared" si="10"/>
        <v>0</v>
      </c>
      <c r="X12" s="162"/>
      <c r="Y12" s="161"/>
      <c r="Z12" s="163"/>
      <c r="AA12" s="161"/>
      <c r="AB12" s="161">
        <v>810000</v>
      </c>
    </row>
    <row r="13" spans="1:28" s="152" customFormat="1" x14ac:dyDescent="0.25">
      <c r="A13" s="156">
        <f t="shared" si="11"/>
        <v>6</v>
      </c>
      <c r="B13" s="161">
        <v>1710</v>
      </c>
      <c r="C13" s="161" t="s">
        <v>172</v>
      </c>
      <c r="D13" s="162">
        <v>1700000</v>
      </c>
      <c r="E13" s="162">
        <v>1700000</v>
      </c>
      <c r="F13" s="162">
        <f t="shared" si="2"/>
        <v>0</v>
      </c>
      <c r="G13" s="162">
        <v>800000</v>
      </c>
      <c r="H13" s="162">
        <v>535463.81999999995</v>
      </c>
      <c r="I13" s="162"/>
      <c r="J13" s="162"/>
      <c r="K13" s="162">
        <f t="shared" si="3"/>
        <v>0</v>
      </c>
      <c r="L13" s="162">
        <f t="shared" si="4"/>
        <v>535463.81999999995</v>
      </c>
      <c r="M13" s="162">
        <f>P13+S13</f>
        <v>674536.18</v>
      </c>
      <c r="N13" s="162">
        <v>390000</v>
      </c>
      <c r="O13" s="162">
        <f>D13-L13-M13-N13</f>
        <v>100000.00000000012</v>
      </c>
      <c r="P13" s="162">
        <f t="shared" si="7"/>
        <v>264536.18000000005</v>
      </c>
      <c r="Q13" s="162">
        <v>410000</v>
      </c>
      <c r="R13" s="162"/>
      <c r="S13" s="162">
        <f t="shared" si="8"/>
        <v>410000</v>
      </c>
      <c r="T13" s="162">
        <f t="shared" si="9"/>
        <v>0</v>
      </c>
      <c r="U13" s="162">
        <f t="shared" si="1"/>
        <v>390000</v>
      </c>
      <c r="V13" s="162"/>
      <c r="W13" s="162">
        <f t="shared" si="10"/>
        <v>0</v>
      </c>
      <c r="X13" s="162"/>
      <c r="Y13" s="162">
        <v>390000</v>
      </c>
      <c r="Z13" s="163"/>
      <c r="AA13" s="161"/>
      <c r="AB13" s="161">
        <v>810000</v>
      </c>
    </row>
    <row r="14" spans="1:28" s="152" customFormat="1" x14ac:dyDescent="0.25">
      <c r="A14" s="156">
        <f t="shared" si="11"/>
        <v>7</v>
      </c>
      <c r="B14" s="161">
        <v>1728</v>
      </c>
      <c r="C14" s="161" t="s">
        <v>173</v>
      </c>
      <c r="D14" s="162">
        <v>100000</v>
      </c>
      <c r="E14" s="162">
        <v>100000</v>
      </c>
      <c r="F14" s="162">
        <f t="shared" si="2"/>
        <v>0</v>
      </c>
      <c r="G14" s="162">
        <v>100000</v>
      </c>
      <c r="H14" s="162">
        <v>2596</v>
      </c>
      <c r="I14" s="162"/>
      <c r="J14" s="162"/>
      <c r="K14" s="162">
        <f t="shared" si="3"/>
        <v>0</v>
      </c>
      <c r="L14" s="162">
        <f t="shared" si="4"/>
        <v>2596</v>
      </c>
      <c r="M14" s="162">
        <f t="shared" ref="M14:M24" si="12">P14+S14</f>
        <v>97404</v>
      </c>
      <c r="N14" s="162"/>
      <c r="O14" s="162">
        <f t="shared" ref="O14:O24" si="13">D14-L14-M14-N14</f>
        <v>0</v>
      </c>
      <c r="P14" s="162">
        <f t="shared" si="7"/>
        <v>97404</v>
      </c>
      <c r="Q14" s="162"/>
      <c r="R14" s="162"/>
      <c r="S14" s="162">
        <f t="shared" si="8"/>
        <v>0</v>
      </c>
      <c r="T14" s="162">
        <f t="shared" si="9"/>
        <v>0</v>
      </c>
      <c r="U14" s="162">
        <f t="shared" si="1"/>
        <v>0</v>
      </c>
      <c r="V14" s="162"/>
      <c r="W14" s="162">
        <f t="shared" si="10"/>
        <v>0</v>
      </c>
      <c r="X14" s="162"/>
      <c r="Y14" s="161"/>
      <c r="Z14" s="163"/>
      <c r="AA14" s="161"/>
      <c r="AB14" s="161">
        <v>810000</v>
      </c>
    </row>
    <row r="15" spans="1:28" s="152" customFormat="1" x14ac:dyDescent="0.25">
      <c r="A15" s="156">
        <f t="shared" si="11"/>
        <v>8</v>
      </c>
      <c r="B15" s="161">
        <v>1737</v>
      </c>
      <c r="C15" s="161" t="s">
        <v>175</v>
      </c>
      <c r="D15" s="162">
        <v>91000</v>
      </c>
      <c r="E15" s="162">
        <v>91000</v>
      </c>
      <c r="F15" s="162">
        <f t="shared" si="2"/>
        <v>0</v>
      </c>
      <c r="G15" s="162">
        <v>91000</v>
      </c>
      <c r="H15" s="162">
        <v>22739</v>
      </c>
      <c r="I15" s="162">
        <v>46451.99</v>
      </c>
      <c r="J15" s="162"/>
      <c r="K15" s="162">
        <f t="shared" si="3"/>
        <v>46451.99</v>
      </c>
      <c r="L15" s="162">
        <f t="shared" si="4"/>
        <v>69190.989999999991</v>
      </c>
      <c r="M15" s="162">
        <f t="shared" si="12"/>
        <v>21809.010000000009</v>
      </c>
      <c r="N15" s="162"/>
      <c r="O15" s="162">
        <f t="shared" si="13"/>
        <v>0</v>
      </c>
      <c r="P15" s="162">
        <f t="shared" si="7"/>
        <v>21809.010000000009</v>
      </c>
      <c r="Q15" s="162"/>
      <c r="R15" s="162"/>
      <c r="S15" s="162">
        <f t="shared" si="8"/>
        <v>0</v>
      </c>
      <c r="T15" s="162">
        <f t="shared" si="9"/>
        <v>0</v>
      </c>
      <c r="U15" s="162">
        <f t="shared" si="1"/>
        <v>0</v>
      </c>
      <c r="V15" s="162"/>
      <c r="W15" s="162">
        <f t="shared" si="10"/>
        <v>0</v>
      </c>
      <c r="X15" s="162"/>
      <c r="Y15" s="161"/>
      <c r="Z15" s="163"/>
      <c r="AA15" s="161"/>
      <c r="AB15" s="161">
        <v>810000</v>
      </c>
    </row>
    <row r="16" spans="1:28" s="152" customFormat="1" x14ac:dyDescent="0.25">
      <c r="A16" s="156">
        <f t="shared" si="11"/>
        <v>9</v>
      </c>
      <c r="B16" s="161">
        <v>1740</v>
      </c>
      <c r="C16" s="161" t="s">
        <v>176</v>
      </c>
      <c r="D16" s="162">
        <v>250000</v>
      </c>
      <c r="E16" s="162">
        <v>250000</v>
      </c>
      <c r="F16" s="162">
        <f t="shared" si="2"/>
        <v>0</v>
      </c>
      <c r="G16" s="162">
        <v>150000</v>
      </c>
      <c r="H16" s="162">
        <v>0</v>
      </c>
      <c r="I16" s="162"/>
      <c r="J16" s="162"/>
      <c r="K16" s="162">
        <f t="shared" si="3"/>
        <v>0</v>
      </c>
      <c r="L16" s="162">
        <f t="shared" si="4"/>
        <v>0</v>
      </c>
      <c r="M16" s="162">
        <f t="shared" si="12"/>
        <v>150000</v>
      </c>
      <c r="N16" s="162"/>
      <c r="O16" s="162">
        <f t="shared" si="13"/>
        <v>100000</v>
      </c>
      <c r="P16" s="162">
        <f t="shared" si="7"/>
        <v>150000</v>
      </c>
      <c r="Q16" s="162"/>
      <c r="R16" s="162"/>
      <c r="S16" s="162">
        <f t="shared" si="8"/>
        <v>0</v>
      </c>
      <c r="T16" s="162">
        <f t="shared" si="9"/>
        <v>0</v>
      </c>
      <c r="U16" s="162">
        <f t="shared" si="1"/>
        <v>0</v>
      </c>
      <c r="V16" s="162"/>
      <c r="W16" s="162">
        <f t="shared" si="10"/>
        <v>0</v>
      </c>
      <c r="X16" s="162"/>
      <c r="Y16" s="161"/>
      <c r="Z16" s="164"/>
      <c r="AA16" s="161"/>
      <c r="AB16" s="161">
        <v>810000</v>
      </c>
    </row>
    <row r="17" spans="1:28" s="152" customFormat="1" x14ac:dyDescent="0.25">
      <c r="A17" s="156">
        <f t="shared" si="11"/>
        <v>10</v>
      </c>
      <c r="B17" s="161">
        <v>1741</v>
      </c>
      <c r="C17" s="161" t="s">
        <v>377</v>
      </c>
      <c r="D17" s="162">
        <f>330000-30000</f>
        <v>300000</v>
      </c>
      <c r="E17" s="162">
        <v>330000</v>
      </c>
      <c r="F17" s="162">
        <f t="shared" si="2"/>
        <v>-30000</v>
      </c>
      <c r="G17" s="162">
        <v>300000</v>
      </c>
      <c r="H17" s="162">
        <v>18526.38</v>
      </c>
      <c r="I17" s="162">
        <v>38085.57</v>
      </c>
      <c r="J17" s="162">
        <v>102817.33</v>
      </c>
      <c r="K17" s="162">
        <f t="shared" si="3"/>
        <v>140902.9</v>
      </c>
      <c r="L17" s="162">
        <f t="shared" si="4"/>
        <v>159429.28</v>
      </c>
      <c r="M17" s="162">
        <f t="shared" si="12"/>
        <v>140570.72</v>
      </c>
      <c r="N17" s="162"/>
      <c r="O17" s="162">
        <f t="shared" si="13"/>
        <v>0</v>
      </c>
      <c r="P17" s="162">
        <f t="shared" si="7"/>
        <v>140570.72</v>
      </c>
      <c r="Q17" s="162"/>
      <c r="R17" s="162"/>
      <c r="S17" s="162">
        <f t="shared" si="8"/>
        <v>0</v>
      </c>
      <c r="T17" s="162">
        <f t="shared" si="9"/>
        <v>0</v>
      </c>
      <c r="U17" s="162">
        <f t="shared" si="1"/>
        <v>0</v>
      </c>
      <c r="V17" s="162"/>
      <c r="W17" s="162">
        <f t="shared" si="10"/>
        <v>0</v>
      </c>
      <c r="X17" s="162"/>
      <c r="Y17" s="161"/>
      <c r="Z17" s="164"/>
      <c r="AA17" s="161"/>
      <c r="AB17" s="161">
        <v>810000</v>
      </c>
    </row>
    <row r="18" spans="1:28" s="152" customFormat="1" x14ac:dyDescent="0.25">
      <c r="A18" s="156">
        <f t="shared" si="11"/>
        <v>11</v>
      </c>
      <c r="B18" s="161">
        <v>1775</v>
      </c>
      <c r="C18" s="161" t="s">
        <v>178</v>
      </c>
      <c r="D18" s="162">
        <v>245000</v>
      </c>
      <c r="E18" s="162">
        <v>245000</v>
      </c>
      <c r="F18" s="162">
        <f t="shared" si="2"/>
        <v>0</v>
      </c>
      <c r="G18" s="162">
        <v>125000</v>
      </c>
      <c r="H18" s="162">
        <v>0</v>
      </c>
      <c r="I18" s="162"/>
      <c r="J18" s="162"/>
      <c r="K18" s="162">
        <f t="shared" si="3"/>
        <v>0</v>
      </c>
      <c r="L18" s="162">
        <f t="shared" si="4"/>
        <v>0</v>
      </c>
      <c r="M18" s="162">
        <f t="shared" si="12"/>
        <v>125000</v>
      </c>
      <c r="N18" s="162">
        <v>120000</v>
      </c>
      <c r="O18" s="162">
        <f t="shared" si="13"/>
        <v>0</v>
      </c>
      <c r="P18" s="162">
        <f t="shared" si="7"/>
        <v>125000</v>
      </c>
      <c r="Q18" s="162"/>
      <c r="R18" s="162"/>
      <c r="S18" s="162">
        <f t="shared" si="8"/>
        <v>0</v>
      </c>
      <c r="T18" s="162">
        <f t="shared" si="9"/>
        <v>0</v>
      </c>
      <c r="U18" s="162">
        <f t="shared" si="1"/>
        <v>120000</v>
      </c>
      <c r="V18" s="162"/>
      <c r="W18" s="162">
        <f t="shared" si="10"/>
        <v>120000</v>
      </c>
      <c r="X18" s="162"/>
      <c r="Y18" s="161"/>
      <c r="Z18" s="163"/>
      <c r="AA18" s="165"/>
      <c r="AB18" s="161">
        <v>760000</v>
      </c>
    </row>
    <row r="19" spans="1:28" s="159" customFormat="1" x14ac:dyDescent="0.25">
      <c r="A19" s="156">
        <f t="shared" si="11"/>
        <v>12</v>
      </c>
      <c r="B19" s="156">
        <v>1776</v>
      </c>
      <c r="C19" s="156" t="s">
        <v>179</v>
      </c>
      <c r="D19" s="157">
        <f>90000+150000</f>
        <v>240000</v>
      </c>
      <c r="E19" s="157">
        <v>90000</v>
      </c>
      <c r="F19" s="162">
        <f t="shared" si="2"/>
        <v>150000</v>
      </c>
      <c r="G19" s="157">
        <v>0</v>
      </c>
      <c r="H19" s="157">
        <v>0</v>
      </c>
      <c r="I19" s="157"/>
      <c r="J19" s="157"/>
      <c r="K19" s="162">
        <f t="shared" si="3"/>
        <v>0</v>
      </c>
      <c r="L19" s="157">
        <f t="shared" si="4"/>
        <v>0</v>
      </c>
      <c r="M19" s="162">
        <f t="shared" si="12"/>
        <v>90000</v>
      </c>
      <c r="N19" s="157">
        <v>150000</v>
      </c>
      <c r="O19" s="162">
        <f t="shared" si="13"/>
        <v>0</v>
      </c>
      <c r="P19" s="157">
        <f t="shared" si="7"/>
        <v>0</v>
      </c>
      <c r="Q19" s="157">
        <v>90000</v>
      </c>
      <c r="R19" s="157"/>
      <c r="S19" s="157">
        <f t="shared" si="8"/>
        <v>90000</v>
      </c>
      <c r="T19" s="157">
        <f t="shared" si="9"/>
        <v>0</v>
      </c>
      <c r="U19" s="157">
        <f t="shared" si="1"/>
        <v>150000</v>
      </c>
      <c r="V19" s="157"/>
      <c r="W19" s="162">
        <f t="shared" si="10"/>
        <v>150000</v>
      </c>
      <c r="X19" s="157"/>
      <c r="Y19" s="156"/>
      <c r="Z19" s="160"/>
      <c r="AA19" s="165"/>
      <c r="AB19" s="156">
        <v>810000</v>
      </c>
    </row>
    <row r="20" spans="1:28" s="152" customFormat="1" x14ac:dyDescent="0.25">
      <c r="A20" s="156">
        <f t="shared" si="11"/>
        <v>13</v>
      </c>
      <c r="B20" s="156">
        <v>1779</v>
      </c>
      <c r="C20" s="161" t="s">
        <v>341</v>
      </c>
      <c r="D20" s="162">
        <f>280000-30000</f>
        <v>250000</v>
      </c>
      <c r="E20" s="162">
        <v>250000</v>
      </c>
      <c r="F20" s="162">
        <f t="shared" si="2"/>
        <v>0</v>
      </c>
      <c r="G20" s="162">
        <v>0</v>
      </c>
      <c r="H20" s="162">
        <v>0</v>
      </c>
      <c r="I20" s="162"/>
      <c r="J20" s="162"/>
      <c r="K20" s="162">
        <f t="shared" si="3"/>
        <v>0</v>
      </c>
      <c r="L20" s="162">
        <f t="shared" si="4"/>
        <v>0</v>
      </c>
      <c r="M20" s="162">
        <f t="shared" si="12"/>
        <v>250000</v>
      </c>
      <c r="N20" s="162"/>
      <c r="O20" s="162">
        <f t="shared" si="13"/>
        <v>0</v>
      </c>
      <c r="P20" s="162">
        <f t="shared" si="7"/>
        <v>0</v>
      </c>
      <c r="Q20" s="162">
        <v>250000</v>
      </c>
      <c r="R20" s="162"/>
      <c r="S20" s="162">
        <f t="shared" si="8"/>
        <v>250000</v>
      </c>
      <c r="T20" s="162">
        <f t="shared" si="9"/>
        <v>0</v>
      </c>
      <c r="U20" s="162">
        <f t="shared" si="1"/>
        <v>0</v>
      </c>
      <c r="V20" s="162"/>
      <c r="W20" s="162">
        <f t="shared" si="10"/>
        <v>0</v>
      </c>
      <c r="X20" s="162"/>
      <c r="Y20" s="161"/>
      <c r="Z20" s="163"/>
      <c r="AA20" s="161"/>
      <c r="AB20" s="161">
        <v>810000</v>
      </c>
    </row>
    <row r="21" spans="1:28" s="152" customFormat="1" x14ac:dyDescent="0.25">
      <c r="A21" s="156">
        <f t="shared" si="11"/>
        <v>14</v>
      </c>
      <c r="B21" s="166">
        <v>1810</v>
      </c>
      <c r="C21" s="161" t="s">
        <v>374</v>
      </c>
      <c r="D21" s="162">
        <f>750000+200000</f>
        <v>950000</v>
      </c>
      <c r="E21" s="162">
        <v>500000</v>
      </c>
      <c r="F21" s="162">
        <f t="shared" si="2"/>
        <v>450000</v>
      </c>
      <c r="G21" s="162">
        <v>200000</v>
      </c>
      <c r="H21" s="162">
        <v>0</v>
      </c>
      <c r="I21" s="162">
        <v>83549.67</v>
      </c>
      <c r="J21" s="162"/>
      <c r="K21" s="162">
        <f t="shared" si="3"/>
        <v>83549.67</v>
      </c>
      <c r="L21" s="162">
        <f t="shared" si="4"/>
        <v>83549.67</v>
      </c>
      <c r="M21" s="162">
        <f t="shared" si="12"/>
        <v>116450.33</v>
      </c>
      <c r="N21" s="162">
        <v>750000</v>
      </c>
      <c r="O21" s="162">
        <f t="shared" si="13"/>
        <v>0</v>
      </c>
      <c r="P21" s="162">
        <f t="shared" si="7"/>
        <v>116450.33</v>
      </c>
      <c r="Q21" s="162"/>
      <c r="R21" s="162"/>
      <c r="S21" s="162">
        <f t="shared" si="8"/>
        <v>0</v>
      </c>
      <c r="T21" s="162">
        <f t="shared" si="9"/>
        <v>0</v>
      </c>
      <c r="U21" s="162">
        <f t="shared" si="1"/>
        <v>750000</v>
      </c>
      <c r="V21" s="162"/>
      <c r="W21" s="162">
        <f t="shared" si="10"/>
        <v>0</v>
      </c>
      <c r="X21" s="162"/>
      <c r="Y21" s="167">
        <v>750000</v>
      </c>
      <c r="Z21" s="163"/>
      <c r="AA21" s="161"/>
      <c r="AB21" s="161">
        <v>810000</v>
      </c>
    </row>
    <row r="22" spans="1:28" s="152" customFormat="1" x14ac:dyDescent="0.25">
      <c r="A22" s="156">
        <f t="shared" si="11"/>
        <v>15</v>
      </c>
      <c r="B22" s="166">
        <v>1817</v>
      </c>
      <c r="C22" s="161" t="s">
        <v>376</v>
      </c>
      <c r="D22" s="162">
        <v>640000</v>
      </c>
      <c r="E22" s="162">
        <v>640000</v>
      </c>
      <c r="F22" s="162">
        <f t="shared" si="2"/>
        <v>0</v>
      </c>
      <c r="G22" s="162">
        <v>0</v>
      </c>
      <c r="H22" s="162">
        <v>0</v>
      </c>
      <c r="I22" s="162"/>
      <c r="J22" s="162"/>
      <c r="K22" s="162">
        <f t="shared" si="3"/>
        <v>0</v>
      </c>
      <c r="L22" s="162">
        <f t="shared" si="4"/>
        <v>0</v>
      </c>
      <c r="M22" s="162">
        <f t="shared" si="12"/>
        <v>640000</v>
      </c>
      <c r="N22" s="162"/>
      <c r="O22" s="162">
        <f t="shared" si="13"/>
        <v>0</v>
      </c>
      <c r="P22" s="162">
        <f t="shared" si="7"/>
        <v>0</v>
      </c>
      <c r="Q22" s="162"/>
      <c r="R22" s="162">
        <v>640000</v>
      </c>
      <c r="S22" s="162">
        <f t="shared" si="8"/>
        <v>640000</v>
      </c>
      <c r="T22" s="162">
        <f t="shared" si="9"/>
        <v>0</v>
      </c>
      <c r="U22" s="162">
        <f t="shared" si="1"/>
        <v>0</v>
      </c>
      <c r="V22" s="162"/>
      <c r="W22" s="162">
        <f t="shared" si="10"/>
        <v>0</v>
      </c>
      <c r="X22" s="162"/>
      <c r="Y22" s="161"/>
      <c r="Z22" s="163"/>
      <c r="AA22" s="161"/>
      <c r="AB22" s="161">
        <v>810000</v>
      </c>
    </row>
    <row r="23" spans="1:28" s="152" customFormat="1" x14ac:dyDescent="0.25">
      <c r="A23" s="156">
        <f t="shared" si="11"/>
        <v>16</v>
      </c>
      <c r="B23" s="166">
        <v>1828</v>
      </c>
      <c r="C23" s="161" t="s">
        <v>569</v>
      </c>
      <c r="D23" s="162">
        <v>330000</v>
      </c>
      <c r="E23" s="162">
        <v>330000</v>
      </c>
      <c r="F23" s="162">
        <f t="shared" si="2"/>
        <v>0</v>
      </c>
      <c r="G23" s="162">
        <v>0</v>
      </c>
      <c r="H23" s="162">
        <v>0</v>
      </c>
      <c r="I23" s="162"/>
      <c r="J23" s="162"/>
      <c r="K23" s="162">
        <f t="shared" si="3"/>
        <v>0</v>
      </c>
      <c r="L23" s="162">
        <f t="shared" si="4"/>
        <v>0</v>
      </c>
      <c r="M23" s="162">
        <f t="shared" si="12"/>
        <v>330000</v>
      </c>
      <c r="N23" s="162"/>
      <c r="O23" s="162">
        <f t="shared" si="13"/>
        <v>0</v>
      </c>
      <c r="P23" s="162">
        <f t="shared" si="7"/>
        <v>0</v>
      </c>
      <c r="Q23" s="162"/>
      <c r="R23" s="162">
        <v>330000</v>
      </c>
      <c r="S23" s="162">
        <f t="shared" si="8"/>
        <v>330000</v>
      </c>
      <c r="T23" s="162">
        <f t="shared" si="9"/>
        <v>0</v>
      </c>
      <c r="U23" s="162">
        <f t="shared" si="1"/>
        <v>0</v>
      </c>
      <c r="V23" s="162"/>
      <c r="W23" s="162">
        <f t="shared" si="10"/>
        <v>0</v>
      </c>
      <c r="X23" s="162"/>
      <c r="Y23" s="161"/>
      <c r="Z23" s="163"/>
      <c r="AA23" s="161"/>
      <c r="AB23" s="161">
        <v>810000</v>
      </c>
    </row>
    <row r="24" spans="1:28" s="152" customFormat="1" x14ac:dyDescent="0.25">
      <c r="A24" s="156">
        <f t="shared" si="11"/>
        <v>17</v>
      </c>
      <c r="B24" s="166">
        <v>1860</v>
      </c>
      <c r="C24" s="161" t="s">
        <v>509</v>
      </c>
      <c r="D24" s="162">
        <v>80000</v>
      </c>
      <c r="E24" s="162"/>
      <c r="F24" s="162">
        <f t="shared" si="2"/>
        <v>80000</v>
      </c>
      <c r="G24" s="162">
        <v>0</v>
      </c>
      <c r="H24" s="162">
        <v>0</v>
      </c>
      <c r="I24" s="162"/>
      <c r="J24" s="162"/>
      <c r="K24" s="162">
        <f t="shared" si="3"/>
        <v>0</v>
      </c>
      <c r="L24" s="162">
        <f t="shared" si="4"/>
        <v>0</v>
      </c>
      <c r="M24" s="162">
        <f t="shared" si="12"/>
        <v>0</v>
      </c>
      <c r="N24" s="162">
        <v>80000</v>
      </c>
      <c r="O24" s="162">
        <f t="shared" si="13"/>
        <v>0</v>
      </c>
      <c r="P24" s="162">
        <f t="shared" si="7"/>
        <v>0</v>
      </c>
      <c r="Q24" s="162"/>
      <c r="R24" s="162"/>
      <c r="S24" s="162">
        <f t="shared" si="8"/>
        <v>0</v>
      </c>
      <c r="T24" s="162">
        <f t="shared" si="9"/>
        <v>0</v>
      </c>
      <c r="U24" s="162">
        <f t="shared" si="1"/>
        <v>80000</v>
      </c>
      <c r="V24" s="162"/>
      <c r="W24" s="162">
        <f t="shared" si="10"/>
        <v>80000</v>
      </c>
      <c r="X24" s="162"/>
      <c r="Y24" s="161"/>
      <c r="Z24" s="163"/>
      <c r="AA24" s="161"/>
      <c r="AB24" s="161">
        <v>810000</v>
      </c>
    </row>
    <row r="25" spans="1:28" s="172" customFormat="1" x14ac:dyDescent="0.25">
      <c r="A25" s="171">
        <f>A24</f>
        <v>17</v>
      </c>
      <c r="B25" s="169"/>
      <c r="C25" s="169" t="s">
        <v>510</v>
      </c>
      <c r="D25" s="170">
        <f t="shared" ref="D25:W25" si="14">SUM(D8:D24)</f>
        <v>8010000</v>
      </c>
      <c r="E25" s="170">
        <f t="shared" si="14"/>
        <v>7360000</v>
      </c>
      <c r="F25" s="170">
        <f t="shared" si="14"/>
        <v>650000</v>
      </c>
      <c r="G25" s="170">
        <f t="shared" si="14"/>
        <v>4600000</v>
      </c>
      <c r="H25" s="170">
        <f t="shared" si="14"/>
        <v>2953805.11</v>
      </c>
      <c r="I25" s="170">
        <f t="shared" si="14"/>
        <v>199779.66999999998</v>
      </c>
      <c r="J25" s="170">
        <f t="shared" si="14"/>
        <v>102817.33</v>
      </c>
      <c r="K25" s="170">
        <f t="shared" si="14"/>
        <v>302597</v>
      </c>
      <c r="L25" s="170">
        <f t="shared" si="14"/>
        <v>3256402.11</v>
      </c>
      <c r="M25" s="170">
        <f t="shared" si="14"/>
        <v>3063597.89</v>
      </c>
      <c r="N25" s="170">
        <f t="shared" si="14"/>
        <v>1490000</v>
      </c>
      <c r="O25" s="170">
        <f t="shared" si="14"/>
        <v>200000.00000000012</v>
      </c>
      <c r="P25" s="170">
        <f t="shared" si="14"/>
        <v>1343597.8900000001</v>
      </c>
      <c r="Q25" s="170">
        <f t="shared" si="14"/>
        <v>750000</v>
      </c>
      <c r="R25" s="170">
        <f t="shared" si="14"/>
        <v>970000</v>
      </c>
      <c r="S25" s="170">
        <f t="shared" si="14"/>
        <v>1720000</v>
      </c>
      <c r="T25" s="170">
        <f t="shared" si="14"/>
        <v>0</v>
      </c>
      <c r="U25" s="170">
        <f t="shared" si="14"/>
        <v>1490000</v>
      </c>
      <c r="V25" s="170">
        <f t="shared" si="14"/>
        <v>0</v>
      </c>
      <c r="W25" s="170">
        <f t="shared" si="14"/>
        <v>350000</v>
      </c>
      <c r="X25" s="170">
        <f>SUM(X8:X22)</f>
        <v>0</v>
      </c>
      <c r="Y25" s="170">
        <f>SUM(Y8:Y22)</f>
        <v>1140000</v>
      </c>
      <c r="Z25" s="171"/>
    </row>
    <row r="26" spans="1:28" s="172" customFormat="1" x14ac:dyDescent="0.25">
      <c r="A26" s="171"/>
      <c r="B26" s="169"/>
      <c r="C26" s="169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</row>
    <row r="27" spans="1:28" s="155" customFormat="1" ht="15.6" x14ac:dyDescent="0.25">
      <c r="A27" s="30"/>
      <c r="B27" s="30"/>
      <c r="C27" s="30" t="s">
        <v>545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4"/>
      <c r="AA27" s="30"/>
      <c r="AB27" s="30"/>
    </row>
    <row r="28" spans="1:28" s="159" customFormat="1" ht="41.4" x14ac:dyDescent="0.25">
      <c r="A28" s="156">
        <f>A27+1</f>
        <v>1</v>
      </c>
      <c r="B28" s="156">
        <v>1486</v>
      </c>
      <c r="C28" s="156" t="s">
        <v>135</v>
      </c>
      <c r="D28" s="157">
        <v>3200000</v>
      </c>
      <c r="E28" s="157">
        <v>3200000</v>
      </c>
      <c r="F28" s="157">
        <f t="shared" ref="F28:F39" si="15">D28-E28</f>
        <v>0</v>
      </c>
      <c r="G28" s="157">
        <v>1500000</v>
      </c>
      <c r="H28" s="157">
        <v>1164972.04</v>
      </c>
      <c r="I28" s="157">
        <v>242700.16</v>
      </c>
      <c r="J28" s="157"/>
      <c r="K28" s="157">
        <f t="shared" ref="K28:K38" si="16">I28+J28</f>
        <v>242700.16</v>
      </c>
      <c r="L28" s="157">
        <f t="shared" ref="L28:L38" si="17">H28+K28</f>
        <v>1407672.2</v>
      </c>
      <c r="M28" s="157">
        <f t="shared" ref="M28:M38" si="18">P28+S28</f>
        <v>92327.800000000047</v>
      </c>
      <c r="N28" s="157">
        <f>1700000-500000</f>
        <v>1200000</v>
      </c>
      <c r="O28" s="157">
        <f t="shared" ref="O28:O38" si="19">D28-L28-M28-N28</f>
        <v>500000</v>
      </c>
      <c r="P28" s="157">
        <f t="shared" ref="P28:P38" si="20">G28-L28</f>
        <v>92327.800000000047</v>
      </c>
      <c r="Q28" s="157"/>
      <c r="R28" s="157"/>
      <c r="S28" s="157">
        <f t="shared" ref="S28:S38" si="21">SUM(Q28:R28)</f>
        <v>0</v>
      </c>
      <c r="T28" s="157">
        <f>P28-M28+S28</f>
        <v>0</v>
      </c>
      <c r="U28" s="157">
        <f>N28-T28</f>
        <v>1200000</v>
      </c>
      <c r="V28" s="157"/>
      <c r="W28" s="157">
        <f t="shared" ref="W28:W38" si="22">U28-V28-X28-Y28</f>
        <v>1200000</v>
      </c>
      <c r="X28" s="157"/>
      <c r="Y28" s="156"/>
      <c r="Z28" s="158" t="s">
        <v>499</v>
      </c>
      <c r="AA28" s="156" t="s">
        <v>500</v>
      </c>
      <c r="AB28" s="156">
        <v>930000</v>
      </c>
    </row>
    <row r="29" spans="1:28" s="159" customFormat="1" x14ac:dyDescent="0.25">
      <c r="A29" s="156">
        <f>A28+1</f>
        <v>2</v>
      </c>
      <c r="B29" s="156">
        <v>1582</v>
      </c>
      <c r="C29" s="156" t="s">
        <v>163</v>
      </c>
      <c r="D29" s="157">
        <v>1600000</v>
      </c>
      <c r="E29" s="157">
        <v>1600000</v>
      </c>
      <c r="F29" s="157">
        <f t="shared" si="15"/>
        <v>0</v>
      </c>
      <c r="G29" s="157">
        <v>750000</v>
      </c>
      <c r="H29" s="157">
        <v>583415.86</v>
      </c>
      <c r="I29" s="157">
        <v>2950</v>
      </c>
      <c r="J29" s="157"/>
      <c r="K29" s="157">
        <f t="shared" si="16"/>
        <v>2950</v>
      </c>
      <c r="L29" s="157">
        <f t="shared" si="17"/>
        <v>586365.86</v>
      </c>
      <c r="M29" s="157">
        <f t="shared" si="18"/>
        <v>13634.140000000014</v>
      </c>
      <c r="N29" s="157">
        <f>163634-634</f>
        <v>163000</v>
      </c>
      <c r="O29" s="157">
        <f t="shared" si="19"/>
        <v>837000</v>
      </c>
      <c r="P29" s="157">
        <f t="shared" si="20"/>
        <v>163634.14000000001</v>
      </c>
      <c r="Q29" s="157">
        <v>-150000</v>
      </c>
      <c r="R29" s="157"/>
      <c r="S29" s="157">
        <f t="shared" si="21"/>
        <v>-150000</v>
      </c>
      <c r="T29" s="157"/>
      <c r="U29" s="157">
        <f>N29-T29</f>
        <v>163000</v>
      </c>
      <c r="V29" s="157"/>
      <c r="W29" s="157">
        <f t="shared" si="22"/>
        <v>163000</v>
      </c>
      <c r="X29" s="157"/>
      <c r="Y29" s="156"/>
      <c r="Z29" s="158" t="s">
        <v>501</v>
      </c>
      <c r="AA29" s="156"/>
      <c r="AB29" s="156">
        <v>829000</v>
      </c>
    </row>
    <row r="30" spans="1:28" s="159" customFormat="1" x14ac:dyDescent="0.25">
      <c r="A30" s="156">
        <f>A29+1</f>
        <v>3</v>
      </c>
      <c r="B30" s="156">
        <v>1599</v>
      </c>
      <c r="C30" s="156" t="s">
        <v>165</v>
      </c>
      <c r="D30" s="157">
        <v>2368000</v>
      </c>
      <c r="E30" s="157">
        <v>2368000</v>
      </c>
      <c r="F30" s="157">
        <f t="shared" si="15"/>
        <v>0</v>
      </c>
      <c r="G30" s="157">
        <v>2233000</v>
      </c>
      <c r="H30" s="157">
        <v>2050781</v>
      </c>
      <c r="I30" s="157"/>
      <c r="J30" s="157">
        <v>171218</v>
      </c>
      <c r="K30" s="157">
        <f t="shared" si="16"/>
        <v>171218</v>
      </c>
      <c r="L30" s="157">
        <f t="shared" si="17"/>
        <v>2221999</v>
      </c>
      <c r="M30" s="157">
        <f t="shared" si="18"/>
        <v>146001</v>
      </c>
      <c r="N30" s="157"/>
      <c r="O30" s="157">
        <f t="shared" si="19"/>
        <v>0</v>
      </c>
      <c r="P30" s="157">
        <f t="shared" si="20"/>
        <v>11001</v>
      </c>
      <c r="Q30" s="157"/>
      <c r="R30" s="157">
        <v>135000</v>
      </c>
      <c r="S30" s="157">
        <f t="shared" si="21"/>
        <v>135000</v>
      </c>
      <c r="T30" s="157">
        <f t="shared" ref="T30:T38" si="23">P30-M30+S30</f>
        <v>0</v>
      </c>
      <c r="U30" s="157">
        <f t="shared" ref="U30:U32" si="24">N30-T30</f>
        <v>0</v>
      </c>
      <c r="V30" s="157"/>
      <c r="W30" s="157">
        <f t="shared" si="22"/>
        <v>0</v>
      </c>
      <c r="X30" s="157"/>
      <c r="Y30" s="156"/>
      <c r="Z30" s="160"/>
      <c r="AA30" s="156"/>
      <c r="AB30" s="156">
        <v>829000</v>
      </c>
    </row>
    <row r="31" spans="1:28" s="159" customFormat="1" x14ac:dyDescent="0.25">
      <c r="A31" s="156">
        <f t="shared" ref="A31:A39" si="25">A30+1</f>
        <v>4</v>
      </c>
      <c r="B31" s="156">
        <v>1628</v>
      </c>
      <c r="C31" s="156" t="s">
        <v>167</v>
      </c>
      <c r="D31" s="157">
        <v>585000</v>
      </c>
      <c r="E31" s="157">
        <v>585000</v>
      </c>
      <c r="F31" s="157">
        <f t="shared" si="15"/>
        <v>0</v>
      </c>
      <c r="G31" s="157">
        <v>30000</v>
      </c>
      <c r="H31" s="157">
        <v>10856</v>
      </c>
      <c r="I31" s="157"/>
      <c r="J31" s="157"/>
      <c r="K31" s="157">
        <f t="shared" si="16"/>
        <v>0</v>
      </c>
      <c r="L31" s="157">
        <f t="shared" si="17"/>
        <v>10856</v>
      </c>
      <c r="M31" s="157">
        <f t="shared" si="18"/>
        <v>19144</v>
      </c>
      <c r="N31" s="157"/>
      <c r="O31" s="157">
        <f t="shared" si="19"/>
        <v>555000</v>
      </c>
      <c r="P31" s="157">
        <f t="shared" si="20"/>
        <v>19144</v>
      </c>
      <c r="Q31" s="157"/>
      <c r="R31" s="157"/>
      <c r="S31" s="157">
        <f t="shared" si="21"/>
        <v>0</v>
      </c>
      <c r="T31" s="157">
        <f t="shared" si="23"/>
        <v>0</v>
      </c>
      <c r="U31" s="157">
        <f t="shared" si="24"/>
        <v>0</v>
      </c>
      <c r="V31" s="157"/>
      <c r="W31" s="157">
        <f t="shared" si="22"/>
        <v>0</v>
      </c>
      <c r="X31" s="157"/>
      <c r="Y31" s="156"/>
      <c r="Z31" s="160"/>
      <c r="AA31" s="156"/>
      <c r="AB31" s="156">
        <v>822000</v>
      </c>
    </row>
    <row r="32" spans="1:28" s="159" customFormat="1" x14ac:dyDescent="0.25">
      <c r="A32" s="156">
        <f t="shared" si="25"/>
        <v>5</v>
      </c>
      <c r="B32" s="156">
        <v>1678</v>
      </c>
      <c r="C32" s="156" t="s">
        <v>149</v>
      </c>
      <c r="D32" s="157">
        <v>800000</v>
      </c>
      <c r="E32" s="157">
        <v>800000</v>
      </c>
      <c r="F32" s="157">
        <f t="shared" si="15"/>
        <v>0</v>
      </c>
      <c r="G32" s="157">
        <v>500000</v>
      </c>
      <c r="H32" s="157">
        <v>199492</v>
      </c>
      <c r="I32" s="157">
        <v>141318.39999999999</v>
      </c>
      <c r="J32" s="157"/>
      <c r="K32" s="157">
        <f t="shared" si="16"/>
        <v>141318.39999999999</v>
      </c>
      <c r="L32" s="157">
        <f t="shared" si="17"/>
        <v>340810.4</v>
      </c>
      <c r="M32" s="157">
        <f t="shared" si="18"/>
        <v>159189.59999999998</v>
      </c>
      <c r="N32" s="157">
        <f>300000-100000</f>
        <v>200000</v>
      </c>
      <c r="O32" s="157">
        <f t="shared" si="19"/>
        <v>100000</v>
      </c>
      <c r="P32" s="157">
        <f t="shared" si="20"/>
        <v>159189.59999999998</v>
      </c>
      <c r="Q32" s="157"/>
      <c r="R32" s="157"/>
      <c r="S32" s="157">
        <f t="shared" si="21"/>
        <v>0</v>
      </c>
      <c r="T32" s="157">
        <f t="shared" si="23"/>
        <v>0</v>
      </c>
      <c r="U32" s="157">
        <f t="shared" si="24"/>
        <v>200000</v>
      </c>
      <c r="V32" s="157"/>
      <c r="W32" s="157">
        <f t="shared" si="22"/>
        <v>200000</v>
      </c>
      <c r="X32" s="157"/>
      <c r="Y32" s="156"/>
      <c r="Z32" s="160"/>
      <c r="AA32" s="156" t="s">
        <v>502</v>
      </c>
      <c r="AB32" s="156">
        <v>829000</v>
      </c>
    </row>
    <row r="33" spans="1:28" s="159" customFormat="1" x14ac:dyDescent="0.25">
      <c r="A33" s="156">
        <f t="shared" si="25"/>
        <v>6</v>
      </c>
      <c r="B33" s="156">
        <v>1705</v>
      </c>
      <c r="C33" s="156" t="s">
        <v>171</v>
      </c>
      <c r="D33" s="157">
        <v>220000</v>
      </c>
      <c r="E33" s="157">
        <v>220000</v>
      </c>
      <c r="F33" s="157">
        <f t="shared" si="15"/>
        <v>0</v>
      </c>
      <c r="G33" s="157">
        <v>220000</v>
      </c>
      <c r="H33" s="157">
        <v>96997.29</v>
      </c>
      <c r="I33" s="157">
        <v>54644.87</v>
      </c>
      <c r="J33" s="157"/>
      <c r="K33" s="157">
        <f t="shared" si="16"/>
        <v>54644.87</v>
      </c>
      <c r="L33" s="157">
        <f t="shared" si="17"/>
        <v>151642.16</v>
      </c>
      <c r="M33" s="157">
        <f t="shared" si="18"/>
        <v>68357.84</v>
      </c>
      <c r="N33" s="157"/>
      <c r="O33" s="157">
        <f t="shared" si="19"/>
        <v>0</v>
      </c>
      <c r="P33" s="157">
        <f t="shared" si="20"/>
        <v>68357.84</v>
      </c>
      <c r="Q33" s="157"/>
      <c r="R33" s="157"/>
      <c r="S33" s="157">
        <f t="shared" si="21"/>
        <v>0</v>
      </c>
      <c r="T33" s="157">
        <f t="shared" si="23"/>
        <v>0</v>
      </c>
      <c r="U33" s="157">
        <f t="shared" ref="U33:U39" si="26">N33-T33</f>
        <v>0</v>
      </c>
      <c r="V33" s="157"/>
      <c r="W33" s="157">
        <f t="shared" si="22"/>
        <v>0</v>
      </c>
      <c r="X33" s="157"/>
      <c r="Y33" s="156"/>
      <c r="Z33" s="160"/>
      <c r="AA33" s="156"/>
      <c r="AB33" s="156">
        <v>828000</v>
      </c>
    </row>
    <row r="34" spans="1:28" s="159" customFormat="1" x14ac:dyDescent="0.25">
      <c r="A34" s="156">
        <f t="shared" si="25"/>
        <v>7</v>
      </c>
      <c r="B34" s="156">
        <v>1734</v>
      </c>
      <c r="C34" s="156" t="s">
        <v>174</v>
      </c>
      <c r="D34" s="157">
        <v>315000</v>
      </c>
      <c r="E34" s="157">
        <v>315000</v>
      </c>
      <c r="F34" s="157">
        <f t="shared" si="15"/>
        <v>0</v>
      </c>
      <c r="G34" s="157">
        <v>315000</v>
      </c>
      <c r="H34" s="157">
        <v>195673</v>
      </c>
      <c r="I34" s="157"/>
      <c r="J34" s="157"/>
      <c r="K34" s="157">
        <f t="shared" si="16"/>
        <v>0</v>
      </c>
      <c r="L34" s="157">
        <f t="shared" si="17"/>
        <v>195673</v>
      </c>
      <c r="M34" s="157">
        <f t="shared" si="18"/>
        <v>119327</v>
      </c>
      <c r="N34" s="157"/>
      <c r="O34" s="157">
        <f t="shared" si="19"/>
        <v>0</v>
      </c>
      <c r="P34" s="157">
        <f t="shared" si="20"/>
        <v>119327</v>
      </c>
      <c r="Q34" s="157"/>
      <c r="R34" s="157"/>
      <c r="S34" s="157">
        <f t="shared" si="21"/>
        <v>0</v>
      </c>
      <c r="T34" s="157">
        <f t="shared" si="23"/>
        <v>0</v>
      </c>
      <c r="U34" s="157">
        <f t="shared" si="26"/>
        <v>0</v>
      </c>
      <c r="V34" s="157"/>
      <c r="W34" s="157">
        <f t="shared" si="22"/>
        <v>0</v>
      </c>
      <c r="X34" s="157"/>
      <c r="Y34" s="156"/>
      <c r="Z34" s="160"/>
      <c r="AA34" s="156"/>
      <c r="AB34" s="156">
        <v>829000</v>
      </c>
    </row>
    <row r="35" spans="1:28" s="159" customFormat="1" x14ac:dyDescent="0.25">
      <c r="A35" s="156">
        <f t="shared" si="25"/>
        <v>8</v>
      </c>
      <c r="B35" s="156">
        <v>1774</v>
      </c>
      <c r="C35" s="156" t="s">
        <v>177</v>
      </c>
      <c r="D35" s="157">
        <v>100000</v>
      </c>
      <c r="E35" s="157">
        <v>100000</v>
      </c>
      <c r="F35" s="157">
        <f t="shared" si="15"/>
        <v>0</v>
      </c>
      <c r="G35" s="157">
        <v>100000</v>
      </c>
      <c r="H35" s="157">
        <v>0</v>
      </c>
      <c r="I35" s="157">
        <v>86140</v>
      </c>
      <c r="J35" s="157"/>
      <c r="K35" s="157">
        <f t="shared" si="16"/>
        <v>86140</v>
      </c>
      <c r="L35" s="157">
        <f t="shared" si="17"/>
        <v>86140</v>
      </c>
      <c r="M35" s="157">
        <f t="shared" si="18"/>
        <v>13860</v>
      </c>
      <c r="N35" s="157"/>
      <c r="O35" s="157">
        <f t="shared" si="19"/>
        <v>0</v>
      </c>
      <c r="P35" s="157">
        <f t="shared" si="20"/>
        <v>13860</v>
      </c>
      <c r="Q35" s="157"/>
      <c r="R35" s="157"/>
      <c r="S35" s="157">
        <f t="shared" si="21"/>
        <v>0</v>
      </c>
      <c r="T35" s="157">
        <f t="shared" si="23"/>
        <v>0</v>
      </c>
      <c r="U35" s="157">
        <f t="shared" si="26"/>
        <v>0</v>
      </c>
      <c r="V35" s="157"/>
      <c r="W35" s="157">
        <f t="shared" si="22"/>
        <v>0</v>
      </c>
      <c r="X35" s="157"/>
      <c r="Y35" s="156"/>
      <c r="Z35" s="160"/>
      <c r="AA35" s="156"/>
      <c r="AB35" s="156">
        <v>810000</v>
      </c>
    </row>
    <row r="36" spans="1:28" s="159" customFormat="1" x14ac:dyDescent="0.25">
      <c r="A36" s="156">
        <f t="shared" si="25"/>
        <v>9</v>
      </c>
      <c r="B36" s="156">
        <v>1777</v>
      </c>
      <c r="C36" s="156" t="s">
        <v>180</v>
      </c>
      <c r="D36" s="157">
        <f>110000+160000</f>
        <v>270000</v>
      </c>
      <c r="E36" s="157">
        <v>110000</v>
      </c>
      <c r="F36" s="157">
        <f t="shared" si="15"/>
        <v>160000</v>
      </c>
      <c r="G36" s="157">
        <v>110000</v>
      </c>
      <c r="H36" s="157">
        <v>0</v>
      </c>
      <c r="I36" s="157"/>
      <c r="J36" s="157"/>
      <c r="K36" s="157">
        <f t="shared" si="16"/>
        <v>0</v>
      </c>
      <c r="L36" s="157">
        <f t="shared" si="17"/>
        <v>0</v>
      </c>
      <c r="M36" s="157">
        <f t="shared" si="18"/>
        <v>110000</v>
      </c>
      <c r="N36" s="157">
        <v>160000</v>
      </c>
      <c r="O36" s="157">
        <f t="shared" si="19"/>
        <v>0</v>
      </c>
      <c r="P36" s="157">
        <f t="shared" si="20"/>
        <v>110000</v>
      </c>
      <c r="Q36" s="157"/>
      <c r="R36" s="157"/>
      <c r="S36" s="157">
        <f t="shared" si="21"/>
        <v>0</v>
      </c>
      <c r="T36" s="157">
        <f t="shared" si="23"/>
        <v>0</v>
      </c>
      <c r="U36" s="157">
        <f t="shared" si="26"/>
        <v>160000</v>
      </c>
      <c r="V36" s="157"/>
      <c r="W36" s="157">
        <f t="shared" si="22"/>
        <v>160000</v>
      </c>
      <c r="X36" s="157"/>
      <c r="Y36" s="156"/>
      <c r="Z36" s="160"/>
      <c r="AA36" s="156"/>
      <c r="AB36" s="156">
        <v>829000</v>
      </c>
    </row>
    <row r="37" spans="1:28" s="159" customFormat="1" x14ac:dyDescent="0.25">
      <c r="A37" s="156">
        <f t="shared" si="25"/>
        <v>10</v>
      </c>
      <c r="B37" s="156">
        <v>1778</v>
      </c>
      <c r="C37" s="156" t="s">
        <v>330</v>
      </c>
      <c r="D37" s="157">
        <v>175000</v>
      </c>
      <c r="E37" s="157">
        <v>175000</v>
      </c>
      <c r="F37" s="157">
        <f t="shared" si="15"/>
        <v>0</v>
      </c>
      <c r="G37" s="157">
        <v>100000</v>
      </c>
      <c r="H37" s="157">
        <v>0</v>
      </c>
      <c r="I37" s="157"/>
      <c r="J37" s="157"/>
      <c r="K37" s="157">
        <f t="shared" si="16"/>
        <v>0</v>
      </c>
      <c r="L37" s="157">
        <f t="shared" si="17"/>
        <v>0</v>
      </c>
      <c r="M37" s="157">
        <f t="shared" si="18"/>
        <v>100000</v>
      </c>
      <c r="N37" s="157"/>
      <c r="O37" s="157">
        <f t="shared" si="19"/>
        <v>75000</v>
      </c>
      <c r="P37" s="157">
        <f t="shared" si="20"/>
        <v>100000</v>
      </c>
      <c r="Q37" s="157"/>
      <c r="R37" s="157"/>
      <c r="S37" s="157">
        <f t="shared" si="21"/>
        <v>0</v>
      </c>
      <c r="T37" s="157">
        <f t="shared" si="23"/>
        <v>0</v>
      </c>
      <c r="U37" s="157">
        <f t="shared" si="26"/>
        <v>0</v>
      </c>
      <c r="V37" s="157"/>
      <c r="W37" s="157">
        <f t="shared" si="22"/>
        <v>0</v>
      </c>
      <c r="X37" s="157"/>
      <c r="Y37" s="156"/>
      <c r="Z37" s="160"/>
      <c r="AA37" s="156"/>
      <c r="AB37" s="156">
        <v>829000</v>
      </c>
    </row>
    <row r="38" spans="1:28" s="159" customFormat="1" x14ac:dyDescent="0.25">
      <c r="A38" s="156">
        <f t="shared" si="25"/>
        <v>11</v>
      </c>
      <c r="B38" s="161">
        <v>1822</v>
      </c>
      <c r="C38" s="156" t="s">
        <v>503</v>
      </c>
      <c r="D38" s="157">
        <f>465000+100000</f>
        <v>565000</v>
      </c>
      <c r="E38" s="157">
        <v>465000</v>
      </c>
      <c r="F38" s="157">
        <f t="shared" si="15"/>
        <v>100000</v>
      </c>
      <c r="G38" s="157"/>
      <c r="H38" s="157">
        <v>0</v>
      </c>
      <c r="I38" s="157"/>
      <c r="J38" s="157"/>
      <c r="K38" s="157">
        <f t="shared" si="16"/>
        <v>0</v>
      </c>
      <c r="L38" s="157">
        <f t="shared" si="17"/>
        <v>0</v>
      </c>
      <c r="M38" s="157">
        <f t="shared" si="18"/>
        <v>465000</v>
      </c>
      <c r="N38" s="157">
        <v>100000</v>
      </c>
      <c r="O38" s="157">
        <f t="shared" si="19"/>
        <v>0</v>
      </c>
      <c r="P38" s="157">
        <f t="shared" si="20"/>
        <v>0</v>
      </c>
      <c r="Q38" s="157"/>
      <c r="R38" s="157">
        <v>465000</v>
      </c>
      <c r="S38" s="157">
        <f t="shared" si="21"/>
        <v>465000</v>
      </c>
      <c r="T38" s="157">
        <f t="shared" si="23"/>
        <v>0</v>
      </c>
      <c r="U38" s="157">
        <f t="shared" si="26"/>
        <v>100000</v>
      </c>
      <c r="V38" s="157">
        <v>100000</v>
      </c>
      <c r="W38" s="157">
        <f t="shared" si="22"/>
        <v>0</v>
      </c>
      <c r="X38" s="157"/>
      <c r="Y38" s="156"/>
      <c r="Z38" s="160"/>
      <c r="AA38" s="156"/>
      <c r="AB38" s="156">
        <v>829000</v>
      </c>
    </row>
    <row r="39" spans="1:28" s="159" customFormat="1" ht="24" x14ac:dyDescent="0.25">
      <c r="A39" s="156">
        <f t="shared" si="25"/>
        <v>12</v>
      </c>
      <c r="B39" s="161">
        <v>1859</v>
      </c>
      <c r="C39" s="156" t="s">
        <v>504</v>
      </c>
      <c r="D39" s="157">
        <v>130000</v>
      </c>
      <c r="E39" s="157"/>
      <c r="F39" s="157">
        <f t="shared" si="15"/>
        <v>130000</v>
      </c>
      <c r="G39" s="157"/>
      <c r="H39" s="157"/>
      <c r="I39" s="157"/>
      <c r="J39" s="157"/>
      <c r="K39" s="157"/>
      <c r="L39" s="157"/>
      <c r="M39" s="157"/>
      <c r="N39" s="157">
        <v>130000</v>
      </c>
      <c r="O39" s="157"/>
      <c r="P39" s="157"/>
      <c r="Q39" s="157"/>
      <c r="R39" s="157"/>
      <c r="S39" s="157"/>
      <c r="T39" s="157"/>
      <c r="U39" s="157">
        <f t="shared" si="26"/>
        <v>130000</v>
      </c>
      <c r="V39" s="157"/>
      <c r="W39" s="157">
        <v>130000</v>
      </c>
      <c r="X39" s="157"/>
      <c r="Y39" s="156"/>
      <c r="Z39" s="158" t="s">
        <v>505</v>
      </c>
      <c r="AA39" s="156" t="s">
        <v>506</v>
      </c>
      <c r="AB39" s="156">
        <v>829000</v>
      </c>
    </row>
    <row r="40" spans="1:28" s="155" customFormat="1" ht="15.6" x14ac:dyDescent="0.25">
      <c r="A40" s="30">
        <f>A39</f>
        <v>12</v>
      </c>
      <c r="B40" s="30"/>
      <c r="C40" s="30" t="s">
        <v>507</v>
      </c>
      <c r="D40" s="153">
        <f t="shared" ref="D40:Y40" si="27">SUM(D28:D39)</f>
        <v>10328000</v>
      </c>
      <c r="E40" s="153">
        <f t="shared" si="27"/>
        <v>9938000</v>
      </c>
      <c r="F40" s="153">
        <f t="shared" si="27"/>
        <v>390000</v>
      </c>
      <c r="G40" s="153">
        <f t="shared" si="27"/>
        <v>5858000</v>
      </c>
      <c r="H40" s="153">
        <f t="shared" si="27"/>
        <v>4302187.1899999995</v>
      </c>
      <c r="I40" s="153">
        <f t="shared" si="27"/>
        <v>527753.42999999993</v>
      </c>
      <c r="J40" s="153">
        <f t="shared" si="27"/>
        <v>171218</v>
      </c>
      <c r="K40" s="153">
        <f t="shared" si="27"/>
        <v>698971.43</v>
      </c>
      <c r="L40" s="153">
        <f t="shared" si="27"/>
        <v>5001158.620000001</v>
      </c>
      <c r="M40" s="153">
        <f t="shared" si="27"/>
        <v>1306841.3799999999</v>
      </c>
      <c r="N40" s="153">
        <f t="shared" si="27"/>
        <v>1953000</v>
      </c>
      <c r="O40" s="153">
        <f t="shared" si="27"/>
        <v>2067000</v>
      </c>
      <c r="P40" s="153">
        <f t="shared" si="27"/>
        <v>856841.38</v>
      </c>
      <c r="Q40" s="153">
        <f t="shared" si="27"/>
        <v>-150000</v>
      </c>
      <c r="R40" s="153">
        <f t="shared" si="27"/>
        <v>600000</v>
      </c>
      <c r="S40" s="153">
        <f t="shared" si="27"/>
        <v>450000</v>
      </c>
      <c r="T40" s="153">
        <f t="shared" si="27"/>
        <v>0</v>
      </c>
      <c r="U40" s="153">
        <f t="shared" si="27"/>
        <v>1953000</v>
      </c>
      <c r="V40" s="153">
        <f t="shared" si="27"/>
        <v>100000</v>
      </c>
      <c r="W40" s="153">
        <f t="shared" si="27"/>
        <v>1853000</v>
      </c>
      <c r="X40" s="153">
        <f t="shared" si="27"/>
        <v>0</v>
      </c>
      <c r="Y40" s="153">
        <f t="shared" si="27"/>
        <v>0</v>
      </c>
      <c r="Z40" s="154"/>
      <c r="AA40" s="30"/>
      <c r="AB40" s="30"/>
    </row>
    <row r="41" spans="1:28" s="155" customFormat="1" ht="15.6" x14ac:dyDescent="0.25">
      <c r="A41" s="30"/>
      <c r="B41" s="30"/>
      <c r="C41" s="30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4"/>
      <c r="AA41" s="30"/>
      <c r="AB41" s="30"/>
    </row>
    <row r="42" spans="1:28" s="155" customFormat="1" ht="15.6" x14ac:dyDescent="0.25">
      <c r="A42" s="153">
        <f>A40+A25</f>
        <v>29</v>
      </c>
      <c r="B42" s="30"/>
      <c r="C42" s="30" t="s">
        <v>631</v>
      </c>
      <c r="D42" s="153">
        <f>D40+D25</f>
        <v>18338000</v>
      </c>
      <c r="E42" s="153">
        <f t="shared" ref="E42:Y42" si="28">E40+E25</f>
        <v>17298000</v>
      </c>
      <c r="F42" s="153">
        <f t="shared" si="28"/>
        <v>1040000</v>
      </c>
      <c r="G42" s="153">
        <f t="shared" si="28"/>
        <v>10458000</v>
      </c>
      <c r="H42" s="153">
        <f t="shared" si="28"/>
        <v>7255992.2999999989</v>
      </c>
      <c r="I42" s="153">
        <f t="shared" si="28"/>
        <v>727533.09999999986</v>
      </c>
      <c r="J42" s="153">
        <f t="shared" si="28"/>
        <v>274035.33</v>
      </c>
      <c r="K42" s="153">
        <f t="shared" si="28"/>
        <v>1001568.43</v>
      </c>
      <c r="L42" s="153">
        <f t="shared" si="28"/>
        <v>8257560.7300000004</v>
      </c>
      <c r="M42" s="153">
        <f t="shared" si="28"/>
        <v>4370439.2699999996</v>
      </c>
      <c r="N42" s="153">
        <f t="shared" si="28"/>
        <v>3443000</v>
      </c>
      <c r="O42" s="153">
        <f t="shared" si="28"/>
        <v>2267000</v>
      </c>
      <c r="P42" s="153">
        <f t="shared" si="28"/>
        <v>2200439.27</v>
      </c>
      <c r="Q42" s="153">
        <f t="shared" si="28"/>
        <v>600000</v>
      </c>
      <c r="R42" s="153">
        <f t="shared" si="28"/>
        <v>1570000</v>
      </c>
      <c r="S42" s="153">
        <f t="shared" si="28"/>
        <v>2170000</v>
      </c>
      <c r="T42" s="153">
        <f t="shared" si="28"/>
        <v>0</v>
      </c>
      <c r="U42" s="153">
        <f t="shared" si="28"/>
        <v>3443000</v>
      </c>
      <c r="V42" s="153">
        <f t="shared" si="28"/>
        <v>100000</v>
      </c>
      <c r="W42" s="153">
        <f t="shared" si="28"/>
        <v>2203000</v>
      </c>
      <c r="X42" s="153">
        <f t="shared" si="28"/>
        <v>0</v>
      </c>
      <c r="Y42" s="153">
        <f t="shared" si="28"/>
        <v>1140000</v>
      </c>
      <c r="Z42" s="154"/>
      <c r="AA42" s="30"/>
      <c r="AB42" s="30"/>
    </row>
    <row r="43" spans="1:28" s="172" customFormat="1" x14ac:dyDescent="0.25">
      <c r="A43" s="168"/>
      <c r="B43" s="218"/>
      <c r="C43" s="218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20"/>
    </row>
    <row r="44" spans="1:28" x14ac:dyDescent="0.25">
      <c r="N44" s="174"/>
    </row>
    <row r="46" spans="1:28" x14ac:dyDescent="0.25">
      <c r="B46" s="145"/>
      <c r="T46" s="19"/>
    </row>
    <row r="47" spans="1:28" x14ac:dyDescent="0.25">
      <c r="R47" s="173">
        <v>720000</v>
      </c>
      <c r="S47" s="173" t="s">
        <v>579</v>
      </c>
    </row>
    <row r="48" spans="1:28" x14ac:dyDescent="0.25">
      <c r="R48" s="173">
        <f>SUM(R46:R47)</f>
        <v>720000</v>
      </c>
    </row>
    <row r="50" spans="18:19" x14ac:dyDescent="0.25">
      <c r="R50" s="173">
        <f>R48-R45</f>
        <v>720000</v>
      </c>
      <c r="S50" s="173" t="s">
        <v>580</v>
      </c>
    </row>
  </sheetData>
  <sheetProtection algorithmName="SHA-512" hashValue="WDABn2NQ/vvY+BTTOJNsTvUDcbpSPqwGlpx6LF+MZWXwpSakchKmXZWTwSU1OFFhHrAxvqDn2EEFPJNjhY9tLg==" saltValue="aBuop1XmZh+/RqI6WiK9Cg==" spinCount="100000" sheet="1" formatCells="0" formatColumns="0" formatRows="0" insertColumns="0" insertRows="0" insertHyperlinks="0" deleteColumns="0" deleteRows="0" sort="0" autoFilter="0" pivotTables="0"/>
  <sortState ref="A8:AB20">
    <sortCondition ref="B8:B20"/>
  </sortState>
  <mergeCells count="2">
    <mergeCell ref="A2:W2"/>
    <mergeCell ref="A3:W3"/>
  </mergeCells>
  <printOptions horizontalCentered="1"/>
  <pageMargins left="0" right="0" top="0.78740157480314965" bottom="0.78740157480314965" header="0.51181102362204722" footer="0.51181102362204722"/>
  <pageSetup paperSize="9" scale="85" fitToHeight="2" orientation="landscape" r:id="rId1"/>
  <headerFooter alignWithMargins="0">
    <oddFooter>&amp;Cעמוד &amp;P מתוך &amp;N&amp;Rאגף חינוך , רווחה וספורט
עמוד 37 - 36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9"/>
  <sheetViews>
    <sheetView rightToLeft="1" workbookViewId="0">
      <selection activeCell="AA1" sqref="AA1:AB1048576"/>
    </sheetView>
  </sheetViews>
  <sheetFormatPr defaultColWidth="9.109375" defaultRowHeight="13.2" x14ac:dyDescent="0.25"/>
  <cols>
    <col min="1" max="1" width="9.88671875" style="193" bestFit="1" customWidth="1"/>
    <col min="2" max="2" width="9.109375" style="193"/>
    <col min="3" max="3" width="24.88671875" style="193" customWidth="1"/>
    <col min="4" max="4" width="11.44140625" style="193" customWidth="1"/>
    <col min="5" max="5" width="12.109375" style="193" customWidth="1"/>
    <col min="6" max="6" width="10.88671875" style="193" customWidth="1"/>
    <col min="7" max="12" width="0" style="193" hidden="1" customWidth="1"/>
    <col min="13" max="13" width="10.33203125" style="193" customWidth="1"/>
    <col min="14" max="15" width="9.109375" style="193"/>
    <col min="16" max="20" width="9.109375" style="193" hidden="1" customWidth="1"/>
    <col min="21" max="23" width="9.109375" style="193"/>
    <col min="24" max="24" width="0" style="193" hidden="1" customWidth="1"/>
    <col min="25" max="25" width="9.109375" style="193"/>
    <col min="26" max="26" width="64.44140625" style="193" hidden="1" customWidth="1"/>
    <col min="27" max="28" width="0" style="193" hidden="1" customWidth="1"/>
    <col min="29" max="16384" width="9.109375" style="193"/>
  </cols>
  <sheetData>
    <row r="2" spans="1:28" ht="18" x14ac:dyDescent="0.35">
      <c r="A2" s="258" t="s">
        <v>370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00"/>
      <c r="AA2" s="200"/>
      <c r="AB2" s="200"/>
    </row>
    <row r="3" spans="1:28" ht="18" x14ac:dyDescent="0.35">
      <c r="A3" s="258" t="s">
        <v>628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00"/>
      <c r="AA3" s="200"/>
      <c r="AB3" s="200"/>
    </row>
    <row r="4" spans="1:28" ht="18" x14ac:dyDescent="0.35"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</row>
    <row r="5" spans="1:28" ht="69" x14ac:dyDescent="0.25">
      <c r="A5" s="192" t="s">
        <v>0</v>
      </c>
      <c r="B5" s="194" t="s">
        <v>1</v>
      </c>
      <c r="C5" s="192" t="s">
        <v>2</v>
      </c>
      <c r="D5" s="192" t="s">
        <v>3</v>
      </c>
      <c r="E5" s="192" t="s">
        <v>4</v>
      </c>
      <c r="F5" s="192" t="s">
        <v>5</v>
      </c>
      <c r="G5" s="192" t="s">
        <v>6</v>
      </c>
      <c r="H5" s="192" t="s">
        <v>7</v>
      </c>
      <c r="I5" s="192" t="s">
        <v>8</v>
      </c>
      <c r="J5" s="192" t="s">
        <v>9</v>
      </c>
      <c r="K5" s="192" t="s">
        <v>10</v>
      </c>
      <c r="L5" s="192" t="s">
        <v>11</v>
      </c>
      <c r="M5" s="192" t="s">
        <v>359</v>
      </c>
      <c r="N5" s="192" t="s">
        <v>360</v>
      </c>
      <c r="O5" s="192" t="s">
        <v>361</v>
      </c>
      <c r="P5" s="192" t="s">
        <v>12</v>
      </c>
      <c r="Q5" s="192" t="s">
        <v>362</v>
      </c>
      <c r="R5" s="192" t="s">
        <v>363</v>
      </c>
      <c r="S5" s="192" t="s">
        <v>364</v>
      </c>
      <c r="T5" s="192" t="s">
        <v>365</v>
      </c>
      <c r="U5" s="192" t="s">
        <v>366</v>
      </c>
      <c r="V5" s="192" t="s">
        <v>13</v>
      </c>
      <c r="W5" s="192" t="s">
        <v>14</v>
      </c>
      <c r="X5" s="192" t="s">
        <v>15</v>
      </c>
      <c r="Y5" s="192" t="s">
        <v>285</v>
      </c>
      <c r="Z5" s="195" t="s">
        <v>16</v>
      </c>
      <c r="AA5" s="192" t="s">
        <v>17</v>
      </c>
      <c r="AB5" s="192" t="s">
        <v>18</v>
      </c>
    </row>
    <row r="6" spans="1:28" ht="13.8" x14ac:dyDescent="0.25">
      <c r="A6" s="196">
        <v>1</v>
      </c>
      <c r="B6" s="196">
        <v>1621</v>
      </c>
      <c r="C6" s="14" t="s">
        <v>141</v>
      </c>
      <c r="D6" s="15">
        <f>700000+600000+50000</f>
        <v>1350000</v>
      </c>
      <c r="E6" s="15">
        <v>700000</v>
      </c>
      <c r="F6" s="15">
        <f t="shared" ref="F6:F8" si="0">D6-E6</f>
        <v>650000</v>
      </c>
      <c r="G6" s="15">
        <v>300000</v>
      </c>
      <c r="H6" s="15">
        <v>165640.23000000001</v>
      </c>
      <c r="I6" s="15">
        <v>72450.95</v>
      </c>
      <c r="J6" s="15"/>
      <c r="K6" s="15">
        <f t="shared" ref="K6" si="1">SUM(I6:J6)</f>
        <v>72450.95</v>
      </c>
      <c r="L6" s="15">
        <f t="shared" ref="L6" si="2">H6+K6</f>
        <v>238091.18</v>
      </c>
      <c r="M6" s="15">
        <f t="shared" ref="M6:M8" si="3">P6+S6</f>
        <v>61908.820000000007</v>
      </c>
      <c r="N6" s="15">
        <v>375000</v>
      </c>
      <c r="O6" s="15">
        <f t="shared" ref="O6:O8" si="4">D6-L6-M6-N6</f>
        <v>675000</v>
      </c>
      <c r="P6" s="15">
        <f t="shared" ref="P6:P8" si="5">G6-L6</f>
        <v>61908.820000000007</v>
      </c>
      <c r="Q6" s="15"/>
      <c r="R6" s="15"/>
      <c r="S6" s="15">
        <f t="shared" ref="S6:S8" si="6">SUM(Q6:R6)</f>
        <v>0</v>
      </c>
      <c r="T6" s="15">
        <f t="shared" ref="T6:T8" si="7">P6-M6+S6</f>
        <v>0</v>
      </c>
      <c r="U6" s="15">
        <f t="shared" ref="U6:U8" si="8">N6-T6</f>
        <v>375000</v>
      </c>
      <c r="V6" s="15"/>
      <c r="W6" s="15">
        <f t="shared" ref="W6:W8" si="9">U6-V6-X6-Y6</f>
        <v>375000</v>
      </c>
      <c r="X6" s="15"/>
      <c r="Y6" s="14"/>
      <c r="Z6" s="14" t="s">
        <v>538</v>
      </c>
      <c r="AA6" s="14"/>
      <c r="AB6" s="14">
        <v>723000</v>
      </c>
    </row>
    <row r="7" spans="1:28" ht="13.8" x14ac:dyDescent="0.25">
      <c r="A7" s="196">
        <f>A6+1</f>
        <v>2</v>
      </c>
      <c r="B7" s="196">
        <v>1857</v>
      </c>
      <c r="C7" s="14" t="s">
        <v>539</v>
      </c>
      <c r="D7" s="15">
        <v>300000</v>
      </c>
      <c r="E7" s="15"/>
      <c r="F7" s="15">
        <f t="shared" si="0"/>
        <v>300000</v>
      </c>
      <c r="G7" s="15"/>
      <c r="H7" s="15"/>
      <c r="I7" s="15"/>
      <c r="J7" s="15"/>
      <c r="K7" s="15"/>
      <c r="L7" s="15"/>
      <c r="M7" s="15">
        <f t="shared" si="3"/>
        <v>0</v>
      </c>
      <c r="N7" s="15">
        <v>300000</v>
      </c>
      <c r="O7" s="15">
        <f t="shared" si="4"/>
        <v>0</v>
      </c>
      <c r="P7" s="15">
        <f t="shared" si="5"/>
        <v>0</v>
      </c>
      <c r="Q7" s="15"/>
      <c r="R7" s="15"/>
      <c r="S7" s="15">
        <f t="shared" si="6"/>
        <v>0</v>
      </c>
      <c r="T7" s="15">
        <f t="shared" si="7"/>
        <v>0</v>
      </c>
      <c r="U7" s="15">
        <f t="shared" si="8"/>
        <v>300000</v>
      </c>
      <c r="V7" s="15"/>
      <c r="W7" s="15">
        <f t="shared" si="9"/>
        <v>100000</v>
      </c>
      <c r="X7" s="103"/>
      <c r="Y7" s="103">
        <v>200000</v>
      </c>
      <c r="Z7" s="197" t="s">
        <v>540</v>
      </c>
      <c r="AA7" s="103"/>
      <c r="AB7" s="198">
        <v>721000</v>
      </c>
    </row>
    <row r="8" spans="1:28" ht="27.6" x14ac:dyDescent="0.25">
      <c r="A8" s="196">
        <f>A7+1</f>
        <v>3</v>
      </c>
      <c r="B8" s="196">
        <v>1858</v>
      </c>
      <c r="C8" s="14" t="s">
        <v>541</v>
      </c>
      <c r="D8" s="15">
        <v>75000</v>
      </c>
      <c r="E8" s="15"/>
      <c r="F8" s="15">
        <f t="shared" si="0"/>
        <v>75000</v>
      </c>
      <c r="G8" s="15"/>
      <c r="H8" s="15"/>
      <c r="I8" s="15"/>
      <c r="J8" s="15"/>
      <c r="K8" s="15"/>
      <c r="L8" s="15"/>
      <c r="M8" s="15">
        <f t="shared" si="3"/>
        <v>0</v>
      </c>
      <c r="N8" s="15">
        <v>75000</v>
      </c>
      <c r="O8" s="15">
        <f t="shared" si="4"/>
        <v>0</v>
      </c>
      <c r="P8" s="15">
        <f t="shared" si="5"/>
        <v>0</v>
      </c>
      <c r="Q8" s="15"/>
      <c r="R8" s="15"/>
      <c r="S8" s="15">
        <f t="shared" si="6"/>
        <v>0</v>
      </c>
      <c r="T8" s="15">
        <f t="shared" si="7"/>
        <v>0</v>
      </c>
      <c r="U8" s="15">
        <f t="shared" si="8"/>
        <v>75000</v>
      </c>
      <c r="V8" s="15"/>
      <c r="W8" s="15">
        <f t="shared" si="9"/>
        <v>75000</v>
      </c>
      <c r="X8" s="103"/>
      <c r="Y8" s="103"/>
      <c r="Z8" s="197" t="s">
        <v>542</v>
      </c>
      <c r="AA8" s="103"/>
      <c r="AB8" s="198">
        <v>720000</v>
      </c>
    </row>
    <row r="9" spans="1:28" s="229" customFormat="1" ht="13.8" x14ac:dyDescent="0.25">
      <c r="A9" s="129">
        <f>A8</f>
        <v>3</v>
      </c>
      <c r="B9" s="227"/>
      <c r="C9" s="129" t="s">
        <v>625</v>
      </c>
      <c r="D9" s="94">
        <f t="shared" ref="D9:AA9" si="10">SUM(D6:D8)</f>
        <v>1725000</v>
      </c>
      <c r="E9" s="94">
        <f t="shared" si="10"/>
        <v>700000</v>
      </c>
      <c r="F9" s="94">
        <f t="shared" si="10"/>
        <v>1025000</v>
      </c>
      <c r="G9" s="94">
        <f t="shared" si="10"/>
        <v>300000</v>
      </c>
      <c r="H9" s="94">
        <f t="shared" si="10"/>
        <v>165640.23000000001</v>
      </c>
      <c r="I9" s="94">
        <f t="shared" si="10"/>
        <v>72450.95</v>
      </c>
      <c r="J9" s="94">
        <f t="shared" si="10"/>
        <v>0</v>
      </c>
      <c r="K9" s="94">
        <f t="shared" si="10"/>
        <v>72450.95</v>
      </c>
      <c r="L9" s="94">
        <f t="shared" si="10"/>
        <v>238091.18</v>
      </c>
      <c r="M9" s="94">
        <f t="shared" si="10"/>
        <v>61908.820000000007</v>
      </c>
      <c r="N9" s="94">
        <f t="shared" si="10"/>
        <v>750000</v>
      </c>
      <c r="O9" s="94">
        <f t="shared" si="10"/>
        <v>675000</v>
      </c>
      <c r="P9" s="94">
        <f t="shared" si="10"/>
        <v>61908.820000000007</v>
      </c>
      <c r="Q9" s="94">
        <f t="shared" si="10"/>
        <v>0</v>
      </c>
      <c r="R9" s="94">
        <f t="shared" si="10"/>
        <v>0</v>
      </c>
      <c r="S9" s="94">
        <f t="shared" si="10"/>
        <v>0</v>
      </c>
      <c r="T9" s="94">
        <f t="shared" si="10"/>
        <v>0</v>
      </c>
      <c r="U9" s="94">
        <f t="shared" si="10"/>
        <v>750000</v>
      </c>
      <c r="V9" s="94">
        <f t="shared" si="10"/>
        <v>0</v>
      </c>
      <c r="W9" s="94">
        <f t="shared" si="10"/>
        <v>550000</v>
      </c>
      <c r="X9" s="94">
        <f t="shared" si="10"/>
        <v>0</v>
      </c>
      <c r="Y9" s="94">
        <f t="shared" si="10"/>
        <v>200000</v>
      </c>
      <c r="Z9" s="94">
        <f t="shared" si="10"/>
        <v>0</v>
      </c>
      <c r="AA9" s="228">
        <f t="shared" si="10"/>
        <v>0</v>
      </c>
      <c r="AB9" s="228"/>
    </row>
  </sheetData>
  <sheetProtection algorithmName="SHA-512" hashValue="jz5g92yHMDm+TgplHhJMx/0sUJoTHVJiubXOfyD2XGScwn+lMqSvfkR+61RDGhzeaYsPkGe/DQYnG3nQMrx+KA==" saltValue="txYyRyg267r0xy5nPvpqgA==" spinCount="100000" sheet="1" formatCells="0" formatColumns="0" formatRows="0" insertColumns="0" deleteColumns="0" deleteRows="0" sort="0" autoFilter="0" pivotTables="0"/>
  <mergeCells count="2">
    <mergeCell ref="A2:Y2"/>
    <mergeCell ref="A3:Y3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headerFooter>
    <oddFooter>&amp;Cעמוד &amp;P מתוך &amp;N&amp;Rאגף בטחון ,פיקוח וסדר ציבורי
עמוד 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12</vt:i4>
      </vt:variant>
      <vt:variant>
        <vt:lpstr>טווחים בעלי שם</vt:lpstr>
      </vt:variant>
      <vt:variant>
        <vt:i4>22</vt:i4>
      </vt:variant>
    </vt:vector>
  </HeadingPairs>
  <TitlesOfParts>
    <vt:vector size="34" baseType="lpstr">
      <vt:lpstr>ריכוז אגפים</vt:lpstr>
      <vt:lpstr>כללי</vt:lpstr>
      <vt:lpstr>שיפוצי בתים עמידר</vt:lpstr>
      <vt:lpstr>נכסים</vt:lpstr>
      <vt:lpstr>מיחשוב </vt:lpstr>
      <vt:lpstr>החברה לתיירות </vt:lpstr>
      <vt:lpstr>שאיפה </vt:lpstr>
      <vt:lpstr>חינוך תנוס </vt:lpstr>
      <vt:lpstr>בטחון</vt:lpstr>
      <vt:lpstr>תבל </vt:lpstr>
      <vt:lpstr>החברה לפיתוח </vt:lpstr>
      <vt:lpstr>הנדסה </vt:lpstr>
      <vt:lpstr>בטחון!WPrint_Area_W</vt:lpstr>
      <vt:lpstr>'החברה לפיתוח '!WPrint_Area_W</vt:lpstr>
      <vt:lpstr>'החברה לתיירות '!WPrint_Area_W</vt:lpstr>
      <vt:lpstr>'הנדסה '!WPrint_Area_W</vt:lpstr>
      <vt:lpstr>'חינוך תנוס '!WPrint_Area_W</vt:lpstr>
      <vt:lpstr>כללי!WPrint_Area_W</vt:lpstr>
      <vt:lpstr>'מיחשוב '!WPrint_Area_W</vt:lpstr>
      <vt:lpstr>נכסים!WPrint_Area_W</vt:lpstr>
      <vt:lpstr>'ריכוז אגפים'!WPrint_Area_W</vt:lpstr>
      <vt:lpstr>'שאיפה '!WPrint_Area_W</vt:lpstr>
      <vt:lpstr>'שיפוצי בתים עמידר'!WPrint_Area_W</vt:lpstr>
      <vt:lpstr>'תבל '!WPrint_Area_W</vt:lpstr>
      <vt:lpstr>'החברה לפיתוח '!WPrint_TitlesW</vt:lpstr>
      <vt:lpstr>'החברה לתיירות '!WPrint_TitlesW</vt:lpstr>
      <vt:lpstr>'הנדסה '!WPrint_TitlesW</vt:lpstr>
      <vt:lpstr>'חינוך תנוס '!WPrint_TitlesW</vt:lpstr>
      <vt:lpstr>כללי!WPrint_TitlesW</vt:lpstr>
      <vt:lpstr>'מיחשוב '!WPrint_TitlesW</vt:lpstr>
      <vt:lpstr>נכסים!WPrint_TitlesW</vt:lpstr>
      <vt:lpstr>'שאיפה '!WPrint_TitlesW</vt:lpstr>
      <vt:lpstr>'שיפוצי בתים עמידר'!WPrint_TitlesW</vt:lpstr>
      <vt:lpstr>'תבל 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Gizbarut-Orna Goldfriend</dc:creator>
  <cp:lastModifiedBy>Dover-Avner Perlmutter</cp:lastModifiedBy>
  <cp:lastPrinted>2015-10-26T16:38:16Z</cp:lastPrinted>
  <dcterms:created xsi:type="dcterms:W3CDTF">2014-10-19T04:47:46Z</dcterms:created>
  <dcterms:modified xsi:type="dcterms:W3CDTF">2016-03-17T08:24:24Z</dcterms:modified>
</cp:coreProperties>
</file>